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at" sheetId="1" r:id="rId1"/>
  </sheets>
  <definedNames>
    <definedName name="Excel_BuiltIn_Print_Area_1_1">'contrat'!$A$1:$Y$74</definedName>
    <definedName name="Excel_BuiltIn_Print_Area" localSheetId="0">'contrat'!$A$1:$Y$75</definedName>
  </definedNames>
  <calcPr fullCalcOnLoad="1" iterate="1" iterateCount="100" iterateDelta="1"/>
</workbook>
</file>

<file path=xl/sharedStrings.xml><?xml version="1.0" encoding="utf-8"?>
<sst xmlns="http://schemas.openxmlformats.org/spreadsheetml/2006/main" count="190" uniqueCount="126">
  <si>
    <t xml:space="preserve">BZ$ dues to Michelo Suites, </t>
  </si>
  <si>
    <t>Main Street, Placencia, Belize</t>
  </si>
  <si>
    <t>1 day</t>
  </si>
  <si>
    <t>Payment schedule:</t>
  </si>
  <si>
    <t>advance electricity</t>
  </si>
  <si>
    <t>$           =</t>
  </si>
  <si>
    <t>Kwh =</t>
  </si>
  <si>
    <t>kWh per week average</t>
  </si>
  <si>
    <t>1 week</t>
  </si>
  <si>
    <t>kWh</t>
  </si>
  <si>
    <t>total</t>
  </si>
  <si>
    <t>average</t>
  </si>
  <si>
    <t>+/- $</t>
  </si>
  <si>
    <t>due</t>
  </si>
  <si>
    <t>4 weeks</t>
  </si>
  <si>
    <t># payments</t>
  </si>
  <si>
    <t>week</t>
  </si>
  <si>
    <t>date</t>
  </si>
  <si>
    <t>paid</t>
  </si>
  <si>
    <t>meter</t>
  </si>
  <si>
    <t>/week</t>
  </si>
  <si>
    <t>13 weeks</t>
  </si>
  <si>
    <t>amount</t>
  </si>
  <si>
    <t>26 weeks</t>
  </si>
  <si>
    <t>before/on</t>
  </si>
  <si>
    <t>Michelo Ltd</t>
  </si>
  <si>
    <t>Placencia Road</t>
  </si>
  <si>
    <t>Placencia</t>
  </si>
  <si>
    <t>, Stann Creek</t>
  </si>
  <si>
    <t>BELIZE, Caraïbes</t>
  </si>
  <si>
    <t>before</t>
  </si>
  <si>
    <t>https://aeo1us.com/immo/fr.html</t>
  </si>
  <si>
    <t xml:space="preserve">tel: +501 523 3519 </t>
  </si>
  <si>
    <t>e-mail: harbour21@gmail.com</t>
  </si>
  <si>
    <t>nom</t>
  </si>
  <si>
    <t>âge</t>
  </si>
  <si>
    <t>adresse</t>
  </si>
  <si>
    <t xml:space="preserve">Je, </t>
  </si>
  <si>
    <t>……………………………………………………</t>
  </si>
  <si>
    <t>…</t>
  </si>
  <si>
    <t>……………………………………………………………………………………………………………………………</t>
  </si>
  <si>
    <t>n° de passeport:</t>
  </si>
  <si>
    <t>………………………</t>
  </si>
  <si>
    <t>pays:</t>
  </si>
  <si>
    <t>……………</t>
  </si>
  <si>
    <t>courriel:</t>
  </si>
  <si>
    <t>………………………………………………………</t>
  </si>
  <si>
    <t>BZ$=</t>
  </si>
  <si>
    <t>BZ$</t>
  </si>
  <si>
    <t xml:space="preserve">ainsi que </t>
  </si>
  <si>
    <t>US$</t>
  </si>
  <si>
    <t>€</t>
  </si>
  <si>
    <t>si vous êtes 2 et voulez dormir dans des lits séparés, remplissez cette ligne</t>
  </si>
  <si>
    <t>£</t>
  </si>
  <si>
    <t>x</t>
  </si>
  <si>
    <t>m'engage à louer</t>
  </si>
  <si>
    <t>du</t>
  </si>
  <si>
    <t>……………………….</t>
  </si>
  <si>
    <t>à 16-21h au</t>
  </si>
  <si>
    <t>à 10-11h dans Hôtel Michelo, Placencia, Belize</t>
  </si>
  <si>
    <t>studio</t>
  </si>
  <si>
    <t xml:space="preserve">selon les conditions suivantes en </t>
  </si>
  <si>
    <t>(1 = BZ$, 2 = US$, 3 = €, 4 = £)</t>
  </si>
  <si>
    <t>day</t>
  </si>
  <si>
    <t>4 wks</t>
  </si>
  <si>
    <t>13 wks</t>
  </si>
  <si>
    <t>S</t>
  </si>
  <si>
    <t>E</t>
  </si>
  <si>
    <t>location</t>
  </si>
  <si>
    <t>nuit(s)</t>
  </si>
  <si>
    <t>=</t>
  </si>
  <si>
    <t xml:space="preserve"> </t>
  </si>
  <si>
    <t>-</t>
  </si>
  <si>
    <t>fois</t>
  </si>
  <si>
    <t>entrez nombre de jours alternatif si désiré (1)</t>
  </si>
  <si>
    <t>budgeted daily rate</t>
  </si>
  <si>
    <t>draps de lits &amp; serviettes frais par lit</t>
  </si>
  <si>
    <t>entrez nombre de jours alternatif si désiré (2)</t>
  </si>
  <si>
    <t>number of nights</t>
  </si>
  <si>
    <t>total budget</t>
  </si>
  <si>
    <t>budgeted tax</t>
  </si>
  <si>
    <t>tax paid</t>
  </si>
  <si>
    <t>service femme de chambre+échange serviettes</t>
  </si>
  <si>
    <t>jour(s)</t>
  </si>
  <si>
    <t>declared room rate</t>
  </si>
  <si>
    <t>declared invoicing</t>
  </si>
  <si>
    <t>WiFi</t>
  </si>
  <si>
    <t>number of days</t>
  </si>
  <si>
    <t>+tax</t>
  </si>
  <si>
    <t>remboursement acompte lors d'annulation(4)</t>
  </si>
  <si>
    <t>grand total taxe incluse</t>
  </si>
  <si>
    <t>ou quelque</t>
  </si>
  <si>
    <t>coût/nuit/studio</t>
  </si>
  <si>
    <t>de l'agence de voyages:</t>
  </si>
  <si>
    <t>………………………......</t>
  </si>
  <si>
    <t>référence:</t>
  </si>
  <si>
    <t>………………………..</t>
  </si>
  <si>
    <t>garantit par</t>
  </si>
  <si>
    <t xml:space="preserve">................ d’acompte le </t>
  </si>
  <si>
    <t>jj/mm/aa</t>
  </si>
  <si>
    <t>que je payerai selon les échéances suivantes (jj/mm/aa)</t>
  </si>
  <si>
    <t>extras</t>
  </si>
  <si>
    <t>cancellation date:</t>
  </si>
  <si>
    <t>…............</t>
  </si>
  <si>
    <t>$ Beliziens</t>
  </si>
  <si>
    <t>refund:</t>
  </si>
  <si>
    <t>(avant) le</t>
  </si>
  <si>
    <t>par (x devant la modalité de paiement désirée)</t>
  </si>
  <si>
    <t>..</t>
  </si>
  <si>
    <t xml:space="preserve">carte: </t>
  </si>
  <si>
    <t>Visa/MasterCard</t>
  </si>
  <si>
    <t xml:space="preserve">numéro: </t>
  </si>
  <si>
    <t>…...................................</t>
  </si>
  <si>
    <t xml:space="preserve">expiration: </t>
  </si>
  <si>
    <t>../..</t>
  </si>
  <si>
    <t xml:space="preserve">code sécurité: </t>
  </si>
  <si>
    <t>…………..</t>
  </si>
  <si>
    <t>$US/€/£:</t>
  </si>
  <si>
    <t>KBC, Havenlaan 2, B-1080 Bruxelles, Belgique, bic KREDBEBB, iban BE41 7360 1825 0010 au nom de Michel Ardoullie</t>
  </si>
  <si>
    <t>Belize Bank, Independence, Belize, account #235794010120000 au nom de Michelo Ltd</t>
  </si>
  <si>
    <t xml:space="preserve">date: </t>
  </si>
  <si>
    <t xml:space="preserve">signature: </t>
  </si>
  <si>
    <t>jj/mm/aaaa</t>
  </si>
  <si>
    <t>(1) nombre de jours d'interval de nettoyage à fond du studio (maximum 28)</t>
  </si>
  <si>
    <t>(2 )nombre de jours d'interval de remplacement (maximum 7);  si blanc (pas de draps &amp; serviettes) vous devez montrer draps, protecteurs de matelas et coussins à l'arrivé</t>
  </si>
  <si>
    <t>(4) remboursement = acompte moins 10% du total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</si>
</sst>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"/>
    <numFmt numFmtId="166" formatCode="0.00"/>
    <numFmt numFmtId="167" formatCode="0"/>
    <numFmt numFmtId="168" formatCode="General"/>
    <numFmt numFmtId="169" formatCode="dd/mm/yy;@"/>
    <numFmt numFmtId="170" formatCode="#"/>
    <numFmt numFmtId="171" formatCode="dd/mm/yyyy"/>
    <numFmt numFmtId="172" formatCode="mm\-yy"/>
    <numFmt numFmtId="173" formatCode="@"/>
    <numFmt numFmtId="174" formatCode="mm/dd/yyyy"/>
    <numFmt numFmtId="175" formatCode="0\ %"/>
    <numFmt numFmtId="176" formatCode="0.00\ %"/>
    <numFmt numFmtId="177" formatCode="General\ "/>
    <numFmt numFmtId="178" formatCode="General_)"/>
    <numFmt numFmtId="179" formatCode="0.0"/>
    <numFmt numFmtId="180" formatCode="dd/mm/yyyy;@"/>
    <numFmt numFmtId="181" formatCode="m/d/yyyy;@"/>
  </numFmts>
  <fonts count="15">
    <font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34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 locked="0"/>
    </xf>
    <xf numFmtId="164" fontId="2" fillId="0" borderId="2" xfId="0" applyFont="1" applyFill="1" applyBorder="1" applyAlignment="1" applyProtection="1">
      <alignment horizontal="right"/>
      <protection/>
    </xf>
    <xf numFmtId="166" fontId="2" fillId="0" borderId="2" xfId="0" applyNumberFormat="1" applyFont="1" applyFill="1" applyBorder="1" applyAlignment="1" applyProtection="1">
      <alignment horizontal="right"/>
      <protection/>
    </xf>
    <xf numFmtId="167" fontId="2" fillId="0" borderId="2" xfId="0" applyNumberFormat="1" applyFont="1" applyFill="1" applyBorder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9" fontId="2" fillId="0" borderId="3" xfId="0" applyNumberFormat="1" applyFont="1" applyFill="1" applyBorder="1" applyAlignment="1" applyProtection="1">
      <alignment horizontal="right"/>
      <protection/>
    </xf>
    <xf numFmtId="164" fontId="2" fillId="0" borderId="3" xfId="0" applyFont="1" applyFill="1" applyBorder="1" applyAlignment="1" applyProtection="1">
      <alignment horizontal="right"/>
      <protection/>
    </xf>
    <xf numFmtId="166" fontId="2" fillId="0" borderId="3" xfId="0" applyNumberFormat="1" applyFont="1" applyFill="1" applyBorder="1" applyAlignment="1" applyProtection="1">
      <alignment horizontal="right"/>
      <protection/>
    </xf>
    <xf numFmtId="167" fontId="2" fillId="0" borderId="3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>
      <alignment/>
    </xf>
    <xf numFmtId="172" fontId="2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right"/>
      <protection/>
    </xf>
    <xf numFmtId="164" fontId="4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 applyProtection="1">
      <alignment/>
      <protection locked="0"/>
    </xf>
    <xf numFmtId="171" fontId="2" fillId="0" borderId="0" xfId="0" applyNumberFormat="1" applyFont="1" applyFill="1" applyAlignment="1" applyProtection="1">
      <alignment horizontal="left"/>
      <protection locked="0"/>
    </xf>
    <xf numFmtId="164" fontId="2" fillId="0" borderId="4" xfId="0" applyFont="1" applyFill="1" applyBorder="1" applyAlignment="1" applyProtection="1">
      <alignment horizontal="center"/>
      <protection locked="0"/>
    </xf>
    <xf numFmtId="171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7" fontId="2" fillId="0" borderId="4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/>
      <protection/>
    </xf>
    <xf numFmtId="171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2" fillId="0" borderId="5" xfId="0" applyNumberFormat="1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right"/>
      <protection/>
    </xf>
    <xf numFmtId="175" fontId="3" fillId="0" borderId="0" xfId="0" applyNumberFormat="1" applyFont="1" applyFill="1" applyAlignment="1" applyProtection="1">
      <alignment horizontal="right"/>
      <protection/>
    </xf>
    <xf numFmtId="171" fontId="2" fillId="0" borderId="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5" fontId="7" fillId="0" borderId="0" xfId="0" applyNumberFormat="1" applyFont="1" applyFill="1" applyAlignment="1" applyProtection="1">
      <alignment/>
      <protection/>
    </xf>
    <xf numFmtId="175" fontId="7" fillId="0" borderId="0" xfId="0" applyNumberFormat="1" applyFont="1" applyFill="1" applyAlignment="1" applyProtection="1">
      <alignment horizontal="left"/>
      <protection/>
    </xf>
    <xf numFmtId="176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 horizontal="left"/>
    </xf>
    <xf numFmtId="165" fontId="2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Alignment="1" applyProtection="1">
      <alignment horizontal="right"/>
      <protection/>
    </xf>
    <xf numFmtId="169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74" fontId="6" fillId="0" borderId="0" xfId="0" applyNumberFormat="1" applyFont="1" applyFill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Alignment="1" applyProtection="1">
      <alignment horizontal="right"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9" xfId="0" applyNumberFormat="1" applyFont="1" applyFill="1" applyBorder="1" applyAlignment="1" applyProtection="1">
      <alignment/>
      <protection/>
    </xf>
    <xf numFmtId="175" fontId="2" fillId="0" borderId="0" xfId="0" applyNumberFormat="1" applyFont="1" applyFill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4" fontId="2" fillId="0" borderId="4" xfId="0" applyFont="1" applyFill="1" applyBorder="1" applyAlignment="1" applyProtection="1">
      <alignment horizontal="center"/>
      <protection locked="0"/>
    </xf>
    <xf numFmtId="180" fontId="2" fillId="0" borderId="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right"/>
      <protection/>
    </xf>
    <xf numFmtId="164" fontId="0" fillId="0" borderId="0" xfId="0" applyFont="1" applyFill="1" applyAlignment="1">
      <alignment horizontal="right"/>
    </xf>
    <xf numFmtId="165" fontId="2" fillId="0" borderId="13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7" fontId="5" fillId="0" borderId="14" xfId="0" applyNumberFormat="1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/>
      <protection/>
    </xf>
    <xf numFmtId="164" fontId="9" fillId="0" borderId="16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  <xf numFmtId="166" fontId="5" fillId="0" borderId="0" xfId="0" applyNumberFormat="1" applyFont="1" applyFill="1" applyBorder="1" applyAlignment="1" applyProtection="1">
      <alignment/>
      <protection/>
    </xf>
    <xf numFmtId="167" fontId="5" fillId="0" borderId="17" xfId="0" applyNumberFormat="1" applyFont="1" applyFill="1" applyBorder="1" applyAlignment="1" applyProtection="1">
      <alignment/>
      <protection/>
    </xf>
    <xf numFmtId="166" fontId="5" fillId="0" borderId="18" xfId="0" applyNumberFormat="1" applyFont="1" applyFill="1" applyBorder="1" applyAlignment="1" applyProtection="1">
      <alignment/>
      <protection/>
    </xf>
    <xf numFmtId="164" fontId="5" fillId="0" borderId="19" xfId="0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 locked="0"/>
    </xf>
    <xf numFmtId="164" fontId="2" fillId="0" borderId="0" xfId="0" applyFont="1" applyFill="1" applyAlignment="1" applyProtection="1">
      <alignment horizontal="left"/>
      <protection locked="0"/>
    </xf>
    <xf numFmtId="166" fontId="2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166" fontId="2" fillId="0" borderId="13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Alignment="1" applyProtection="1">
      <alignment horizontal="center"/>
      <protection locked="0"/>
    </xf>
    <xf numFmtId="164" fontId="2" fillId="0" borderId="1" xfId="0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/>
      <protection/>
    </xf>
    <xf numFmtId="166" fontId="11" fillId="0" borderId="0" xfId="0" applyNumberFormat="1" applyFont="1" applyFill="1" applyAlignment="1" applyProtection="1">
      <alignment/>
      <protection/>
    </xf>
    <xf numFmtId="171" fontId="3" fillId="0" borderId="0" xfId="0" applyNumberFormat="1" applyFont="1" applyFill="1" applyAlignment="1" applyProtection="1">
      <alignment/>
      <protection/>
    </xf>
    <xf numFmtId="164" fontId="12" fillId="0" borderId="0" xfId="0" applyFont="1" applyFill="1" applyAlignment="1" applyProtection="1">
      <alignment/>
      <protection/>
    </xf>
    <xf numFmtId="166" fontId="12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Alignment="1" applyProtection="1">
      <alignment/>
      <protection/>
    </xf>
    <xf numFmtId="173" fontId="3" fillId="0" borderId="0" xfId="0" applyNumberFormat="1" applyFont="1" applyFill="1" applyAlignment="1" applyProtection="1">
      <alignment horizontal="left"/>
      <protection locked="0"/>
    </xf>
    <xf numFmtId="173" fontId="2" fillId="0" borderId="0" xfId="0" applyNumberFormat="1" applyFont="1" applyFill="1" applyAlignment="1" applyProtection="1">
      <alignment horizontal="center"/>
      <protection locked="0"/>
    </xf>
    <xf numFmtId="173" fontId="2" fillId="0" borderId="0" xfId="0" applyNumberFormat="1" applyFont="1" applyFill="1" applyAlignment="1" applyProtection="1">
      <alignment/>
      <protection locked="0"/>
    </xf>
    <xf numFmtId="171" fontId="2" fillId="0" borderId="0" xfId="0" applyNumberFormat="1" applyFont="1" applyFill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4" fontId="14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 vertical="top"/>
      <protection/>
    </xf>
    <xf numFmtId="164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ntfranp" xfId="20"/>
    <cellStyle name="naamloos1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0</xdr:row>
      <xdr:rowOff>0</xdr:rowOff>
    </xdr:from>
    <xdr:to>
      <xdr:col>14</xdr:col>
      <xdr:colOff>66675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280035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838200</xdr:colOff>
      <xdr:row>0</xdr:row>
      <xdr:rowOff>0</xdr:rowOff>
    </xdr:from>
    <xdr:to>
      <xdr:col>5</xdr:col>
      <xdr:colOff>419100</xdr:colOff>
      <xdr:row>13</xdr:row>
      <xdr:rowOff>0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0"/>
          <a:ext cx="30099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1"/>
  <sheetViews>
    <sheetView showGridLines="0" showZeros="0" tabSelected="1" zoomScale="140" zoomScaleNormal="140" workbookViewId="0" topLeftCell="A1">
      <selection activeCell="C17" sqref="C17"/>
    </sheetView>
  </sheetViews>
  <sheetFormatPr defaultColWidth="9.140625" defaultRowHeight="12.75"/>
  <cols>
    <col min="1" max="1" width="12.57421875" style="1" customWidth="1"/>
    <col min="2" max="10" width="9.7109375" style="1" customWidth="1"/>
    <col min="11" max="11" width="11.8515625" style="2" customWidth="1"/>
    <col min="12" max="14" width="9.7109375" style="1" customWidth="1"/>
    <col min="15" max="15" width="13.7109375" style="1" customWidth="1"/>
    <col min="16" max="17" width="9.00390625" style="1" hidden="1" customWidth="1"/>
    <col min="18" max="20" width="9.00390625" style="3" hidden="1" customWidth="1"/>
    <col min="21" max="21" width="9.00390625" style="4" hidden="1" customWidth="1"/>
    <col min="22" max="22" width="9.00390625" style="5" hidden="1" customWidth="1"/>
    <col min="23" max="23" width="9.00390625" style="3" hidden="1" customWidth="1"/>
    <col min="24" max="33" width="9.00390625" style="1" hidden="1" customWidth="1"/>
    <col min="34" max="34" width="9.00390625" style="3" hidden="1" customWidth="1"/>
    <col min="35" max="36" width="9.00390625" style="4" hidden="1" customWidth="1"/>
    <col min="37" max="52" width="9.00390625" style="1" hidden="1" customWidth="1"/>
    <col min="53" max="53" width="9.140625" style="1" customWidth="1"/>
    <col min="54" max="79" width="9.00390625" style="1" customWidth="1"/>
    <col min="80" max="16384" width="9.140625" style="1" customWidth="1"/>
  </cols>
  <sheetData>
    <row r="1" spans="2:40" ht="12.75">
      <c r="B1" s="6"/>
      <c r="C1" s="6"/>
      <c r="D1" s="6"/>
      <c r="E1" s="6"/>
      <c r="F1" s="6"/>
      <c r="G1" s="6"/>
      <c r="P1" s="1">
        <f>+C17</f>
        <v>0</v>
      </c>
      <c r="S1" s="7"/>
      <c r="T1" s="8" t="s">
        <v>0</v>
      </c>
      <c r="U1" s="9" t="s">
        <v>1</v>
      </c>
      <c r="Y1" s="3"/>
      <c r="AB1" s="1" t="s">
        <v>2</v>
      </c>
      <c r="AC1" s="4">
        <f>+AD31*M29</f>
        <v>50</v>
      </c>
      <c r="AD1" s="4">
        <f>20*M$29</f>
        <v>10</v>
      </c>
      <c r="AE1" s="4">
        <f aca="true" t="shared" si="0" ref="AE1:AE2">20*M$29</f>
        <v>10</v>
      </c>
      <c r="AF1" s="4">
        <f>IF(K$37="",0,20)*M29</f>
        <v>10</v>
      </c>
      <c r="AG1" s="1">
        <f>IF(K$39="",0,20)*M$29</f>
        <v>0</v>
      </c>
      <c r="AH1" s="7">
        <v>0</v>
      </c>
      <c r="AI1" s="4">
        <v>0</v>
      </c>
      <c r="AJ1" s="3">
        <v>0</v>
      </c>
      <c r="AK1" s="10">
        <f>IF(H25="",0,20)*M$29</f>
        <v>10</v>
      </c>
      <c r="AL1" s="11" t="s">
        <v>3</v>
      </c>
      <c r="AN1" s="10"/>
    </row>
    <row r="2" spans="2:51" ht="12.75">
      <c r="B2" s="6"/>
      <c r="C2" s="6"/>
      <c r="D2" s="6"/>
      <c r="E2" s="6"/>
      <c r="F2" s="6"/>
      <c r="G2" s="6"/>
      <c r="P2" s="1" t="s">
        <v>4</v>
      </c>
      <c r="R2" s="3">
        <f>(J37+J45)/M29</f>
        <v>0</v>
      </c>
      <c r="S2" s="12" t="s">
        <v>5</v>
      </c>
      <c r="T2" s="4">
        <f>+R2/0.4</f>
        <v>0</v>
      </c>
      <c r="U2" s="4" t="s">
        <v>6</v>
      </c>
      <c r="V2" s="4" t="e">
        <f>T2/MAX(P6:P57)</f>
        <v>#VALUE!</v>
      </c>
      <c r="W2" s="4" t="s">
        <v>7</v>
      </c>
      <c r="X2" s="7"/>
      <c r="AB2" s="1" t="s">
        <v>8</v>
      </c>
      <c r="AC2" s="4">
        <f>+AE31*M29</f>
        <v>280</v>
      </c>
      <c r="AD2" s="4">
        <f aca="true" t="shared" si="1" ref="AD2:AD3">50*M$29</f>
        <v>25</v>
      </c>
      <c r="AE2" s="4">
        <f t="shared" si="0"/>
        <v>10</v>
      </c>
      <c r="AF2" s="4">
        <f>IF(K$37="",0,20*7)*M29</f>
        <v>70</v>
      </c>
      <c r="AG2" s="1">
        <f>IF(K$39="",0,20*7)*M$29</f>
        <v>0</v>
      </c>
      <c r="AH2" s="7">
        <f>IF(K$41="",0,10*7)*M$29</f>
        <v>35</v>
      </c>
      <c r="AI2" s="4">
        <v>0</v>
      </c>
      <c r="AJ2" s="10">
        <v>0</v>
      </c>
      <c r="AK2" s="10">
        <f>IF(H25="",0,20*7)*M$29</f>
        <v>70</v>
      </c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2:52" ht="12.75">
      <c r="B3" s="6"/>
      <c r="C3" s="6"/>
      <c r="D3" s="6"/>
      <c r="E3" s="6"/>
      <c r="F3" s="6"/>
      <c r="G3" s="6"/>
      <c r="P3" s="14"/>
      <c r="Q3" s="14"/>
      <c r="R3" s="15"/>
      <c r="S3" s="15"/>
      <c r="T3" s="16" t="s">
        <v>9</v>
      </c>
      <c r="U3" s="16" t="s">
        <v>10</v>
      </c>
      <c r="V3" s="16" t="s">
        <v>11</v>
      </c>
      <c r="W3" s="15" t="s">
        <v>12</v>
      </c>
      <c r="X3" s="14"/>
      <c r="Y3" s="14" t="s">
        <v>13</v>
      </c>
      <c r="AB3" s="1" t="s">
        <v>14</v>
      </c>
      <c r="AC3" s="4">
        <f>+AF31*M29</f>
        <v>720</v>
      </c>
      <c r="AD3" s="4">
        <f t="shared" si="1"/>
        <v>25</v>
      </c>
      <c r="AE3" s="4">
        <f>80*M$29</f>
        <v>40</v>
      </c>
      <c r="AF3" s="4">
        <f>IF(K$37="",0,600)*M29</f>
        <v>300</v>
      </c>
      <c r="AG3" s="1">
        <f>IF(K$39="",0,20*28)*M$29</f>
        <v>0</v>
      </c>
      <c r="AH3" s="7">
        <f>IF(K$41="",0,2*28)*M$29</f>
        <v>28</v>
      </c>
      <c r="AI3" s="4">
        <f>IF(K$43="",0,1.5*28)*M$29</f>
        <v>0</v>
      </c>
      <c r="AJ3" s="4">
        <f>160*M$29</f>
        <v>80</v>
      </c>
      <c r="AK3" s="10">
        <f>IF(H25="",0,10*28)*M$29</f>
        <v>140</v>
      </c>
      <c r="AL3" s="17" t="s">
        <v>15</v>
      </c>
      <c r="AM3" s="18">
        <f>IF(AC29&lt;29,1,0)</f>
        <v>1</v>
      </c>
      <c r="AN3" s="18">
        <f>IF(AND(AC29&gt;28,AC29&lt;57),2,0)</f>
        <v>0</v>
      </c>
      <c r="AO3" s="18">
        <f>IF(AND(AC29&gt;56,AC29&lt;13*7+1),3,0)</f>
        <v>0</v>
      </c>
      <c r="AP3" s="18">
        <f>IF(OR(AND(AC29&gt;3*7,AC29&lt;4*7),AND(AC29&gt;13*7,AC29&lt;17*7+1)),4,0)</f>
        <v>0</v>
      </c>
      <c r="AQ3" s="18">
        <f>IF(AND(AC29&gt;17*7,AC29&lt;21*7),5,0)</f>
        <v>0</v>
      </c>
      <c r="AR3" s="18">
        <f>IF(AND(AC29&gt;21*7,AC29&lt;25*7),6,0)</f>
        <v>0</v>
      </c>
      <c r="AS3" s="18">
        <f>IF(AND(AC29&gt;25*7,AC29&lt;29*7),7,0)</f>
        <v>0</v>
      </c>
      <c r="AT3" s="18">
        <f>IF(AND(AC29&gt;29*7,AC29&lt;33*7),8,0)</f>
        <v>0</v>
      </c>
      <c r="AU3" s="18">
        <f>IF(AND(AC29&gt;33*7,AC29&lt;37*7),8,0)</f>
        <v>0</v>
      </c>
      <c r="AV3" s="18">
        <f>IF(AND(AC29&gt;37*7,AC29&lt;41*7),9,0)</f>
        <v>0</v>
      </c>
      <c r="AW3" s="18">
        <f>IF(AND(AC29&gt;41*7,AC29&lt;45*7),10,0)</f>
        <v>0</v>
      </c>
      <c r="AX3" s="18">
        <f>IF(AND(AC29&gt;45*7,AC29&lt;49*7),11,0)</f>
        <v>0</v>
      </c>
      <c r="AY3" s="18">
        <f>IF(AND(AC29&gt;49*7,AC29&lt;53*7),11,0)</f>
        <v>0</v>
      </c>
      <c r="AZ3" s="18"/>
    </row>
    <row r="4" spans="2:52" ht="12.75">
      <c r="B4" s="6"/>
      <c r="C4" s="6"/>
      <c r="D4" s="6"/>
      <c r="E4" s="6"/>
      <c r="F4" s="6"/>
      <c r="G4" s="6"/>
      <c r="P4" s="19" t="s">
        <v>16</v>
      </c>
      <c r="Q4" s="20" t="s">
        <v>17</v>
      </c>
      <c r="R4" s="21" t="s">
        <v>18</v>
      </c>
      <c r="S4" s="21" t="s">
        <v>13</v>
      </c>
      <c r="T4" s="22" t="s">
        <v>19</v>
      </c>
      <c r="U4" s="22" t="s">
        <v>9</v>
      </c>
      <c r="V4" s="22" t="s">
        <v>20</v>
      </c>
      <c r="W4" s="22" t="s">
        <v>20</v>
      </c>
      <c r="X4" s="21"/>
      <c r="Y4" s="23">
        <f>+J29</f>
        <v>0</v>
      </c>
      <c r="AB4" s="1" t="s">
        <v>21</v>
      </c>
      <c r="AC4" s="4">
        <f>+AG31*M29</f>
        <v>1450</v>
      </c>
      <c r="AD4" s="4">
        <f>IF(K$33=0,50,150)*M$29</f>
        <v>25</v>
      </c>
      <c r="AE4" s="4">
        <f>260*M$29</f>
        <v>130</v>
      </c>
      <c r="AF4" s="4">
        <f>IF(K$37="",0,600*3.3)*M29</f>
        <v>990</v>
      </c>
      <c r="AG4" s="1">
        <f>IF(K$39="",0,20*91)*M$29</f>
        <v>0</v>
      </c>
      <c r="AH4" s="7">
        <f>IF(K$41="",0,2*91)*M$29</f>
        <v>91</v>
      </c>
      <c r="AI4" s="4">
        <f>IF(K$43="",0,1.5*91)*M$29</f>
        <v>0</v>
      </c>
      <c r="AJ4" s="4">
        <f>160*M$29*13/4</f>
        <v>260</v>
      </c>
      <c r="AK4" s="10">
        <f>IF(H25="",0,10*91)*M$29</f>
        <v>455</v>
      </c>
      <c r="AL4" s="17" t="s">
        <v>22</v>
      </c>
      <c r="AM4" s="2" t="e">
        <f>IF(AM3&gt;0,+$J$53,0)</f>
        <v>#DIV/0!</v>
      </c>
      <c r="AN4" s="2">
        <f>IF(AN$3=0,0,IF(AC29&lt;7,SUM(AC$1:AK$1),IF(AC29&lt;28,SUM(AC$2:AK$2),IF(AC29&lt;91,SUM(AC$3:AK$3)/4*5))))</f>
        <v>0</v>
      </c>
      <c r="AO4" s="3">
        <f>IF(AO$3=0,0,IF(AC29&lt;28,SUM(AC$2:AK$2),SUM(AC$3:AK$3)/4*5))</f>
        <v>0</v>
      </c>
      <c r="AP4" s="3">
        <f>IF(AP$3=0,0,IF(AC29&lt;28,SUM(AC$2:AK$2),SUM(AC$3:AK$3)/4*5))</f>
        <v>0</v>
      </c>
      <c r="AQ4" s="3">
        <f>IF(AQ$3=0,0,SUM($AC$3:$AK$3)/4*5)</f>
        <v>0</v>
      </c>
      <c r="AR4" s="3">
        <f>IF(AR$3=0,0,SUM($AC$3:$AK$3)/4*5)</f>
        <v>0</v>
      </c>
      <c r="AS4" s="3">
        <f>IF(AS$3=0,0,SUM($AC$3:$AK$3))/4*5</f>
        <v>0</v>
      </c>
      <c r="AT4" s="3">
        <f>IF(AT$3=0,0,SUM($AC$3:$AK$3)/4*5)</f>
        <v>0</v>
      </c>
      <c r="AU4" s="3">
        <f>IF(AU$3=0,0,SUM($AC$3:$AK$3)/4*5)</f>
        <v>0</v>
      </c>
      <c r="AV4" s="3">
        <f>IF(AV$3=0,0,SUM($AC$3:$AK$3)/4*5)</f>
        <v>0</v>
      </c>
      <c r="AW4" s="3">
        <f>IF(AW$3=0,0,SUM($AC$3:$AK$3)/4*5)</f>
        <v>0</v>
      </c>
      <c r="AX4" s="3">
        <f>IF(AX$3=0,0,SUM($AC$3:$AK$3)/4*5)</f>
        <v>0</v>
      </c>
      <c r="AY4" s="3">
        <f>IF(AY$3=0,0,SUM($AC$3:$AK$3)/4*5)</f>
        <v>0</v>
      </c>
      <c r="AZ4" s="3"/>
    </row>
    <row r="5" spans="2:51" ht="12.75">
      <c r="B5" s="6"/>
      <c r="C5" s="6"/>
      <c r="D5" s="6"/>
      <c r="E5" s="6"/>
      <c r="F5" s="6"/>
      <c r="G5" s="6"/>
      <c r="P5" s="24"/>
      <c r="Q5" s="25">
        <f>+D27</f>
        <v>0</v>
      </c>
      <c r="R5" s="26"/>
      <c r="S5" s="3">
        <f aca="true" t="shared" si="2" ref="S5:S9">IF(T5&gt;0,SUM(C$60:C$60)/M$29-SUM(R$5:R5)+SUM(W$5:W5)+X5,0)</f>
        <v>0</v>
      </c>
      <c r="T5" s="17"/>
      <c r="U5" s="26"/>
      <c r="V5" s="26"/>
      <c r="W5" s="26">
        <v>0</v>
      </c>
      <c r="X5" s="26"/>
      <c r="Y5" s="26">
        <f aca="true" t="shared" si="3" ref="Y5:Y57">+S5*M$29</f>
        <v>0</v>
      </c>
      <c r="AB5" s="1" t="s">
        <v>23</v>
      </c>
      <c r="AC5" s="4">
        <f>+AG31*M29*2</f>
        <v>2900</v>
      </c>
      <c r="AD5" s="4">
        <f>IF(K$33=0,50,300)*M$29</f>
        <v>25</v>
      </c>
      <c r="AE5" s="4">
        <f>520*M$29</f>
        <v>260</v>
      </c>
      <c r="AF5" s="4">
        <f>IF(K$37="",0,600*6.5)*M29</f>
        <v>1950</v>
      </c>
      <c r="AG5" s="1">
        <f>IF(K$39="",0,20*182)*M$29</f>
        <v>0</v>
      </c>
      <c r="AH5" s="7">
        <f>IF(K$41="",0,2*182)*M$29</f>
        <v>182</v>
      </c>
      <c r="AI5" s="4">
        <f>IF(K$43="",0,1.5*182)*M$29</f>
        <v>0</v>
      </c>
      <c r="AJ5" s="4">
        <f>160*M$29*26/4</f>
        <v>520</v>
      </c>
      <c r="AK5" s="10">
        <f>IF(H25="",0,5*182)*M$29</f>
        <v>455</v>
      </c>
      <c r="AL5" s="17" t="s">
        <v>24</v>
      </c>
      <c r="AM5" s="27">
        <f>IF(AM3&gt;0,+$D27,0)</f>
        <v>0</v>
      </c>
      <c r="AN5" s="27">
        <f>IF(AN$3=0,0,$D27)</f>
        <v>0</v>
      </c>
      <c r="AO5" s="27">
        <f>IF(AO$3=0,0,D$27)</f>
        <v>0</v>
      </c>
      <c r="AP5" s="27">
        <f>IF(AP$3=0,0,$D$27)</f>
        <v>0</v>
      </c>
      <c r="AQ5" s="27">
        <f>IF(AQ$3=0,0,$D$27)</f>
        <v>0</v>
      </c>
      <c r="AR5" s="27">
        <f>IF(AR$3=0,0,$D$27)</f>
        <v>0</v>
      </c>
      <c r="AS5" s="27">
        <f>IF(AS$3=0,0,$D$27)</f>
        <v>0</v>
      </c>
      <c r="AT5" s="27">
        <f>IF(AT$3=0,0,$D$27)</f>
        <v>0</v>
      </c>
      <c r="AU5" s="27">
        <f>IF(AU$3=0,0,$D$27)</f>
        <v>0</v>
      </c>
      <c r="AV5" s="27">
        <f>IF(AV$3=0,0,$D$27)</f>
        <v>0</v>
      </c>
      <c r="AW5" s="27">
        <f>IF(AW$3=0,0,$D$27)</f>
        <v>0</v>
      </c>
      <c r="AX5" s="27">
        <f>IF(AX$3=0,0,$D$27)</f>
        <v>0</v>
      </c>
      <c r="AY5" s="27">
        <f>IF(AY$3=0,0,$D$27)</f>
        <v>0</v>
      </c>
    </row>
    <row r="6" spans="2:51" ht="12.75">
      <c r="B6" s="6"/>
      <c r="C6" s="6"/>
      <c r="D6" s="6"/>
      <c r="E6" s="6"/>
      <c r="F6" s="6"/>
      <c r="G6" s="6"/>
      <c r="H6" s="28" t="s">
        <v>25</v>
      </c>
      <c r="I6" s="7"/>
      <c r="P6" s="24" t="e">
        <f aca="true" t="shared" si="4" ref="P6:P57">IF(Q6="","",P5+1)</f>
        <v>#VALUE!</v>
      </c>
      <c r="Q6" s="25" t="e">
        <f aca="true" t="shared" si="5" ref="Q6:Q57">IF(OR(Q5+7&gt;F$27,Q5+7&lt;D$27),"",Q5+7)</f>
        <v>#VALUE!</v>
      </c>
      <c r="R6" s="26"/>
      <c r="S6" s="3">
        <f t="shared" si="2"/>
        <v>0</v>
      </c>
      <c r="T6" s="17"/>
      <c r="U6" s="26">
        <f aca="true" t="shared" si="6" ref="U6:U57">IF(T6&gt;0,+T6-T$5,0)</f>
        <v>0</v>
      </c>
      <c r="V6" s="26">
        <f aca="true" t="shared" si="7" ref="V6:V57">IF(T6&gt;0,(T6-T$5)/P6,0)</f>
        <v>0</v>
      </c>
      <c r="W6" s="26">
        <f aca="true" t="shared" si="8" ref="W6:W57">IF(T6&gt;0,(V6-V$2)*0.4,0)</f>
        <v>0</v>
      </c>
      <c r="X6" s="26"/>
      <c r="Y6" s="26">
        <f t="shared" si="3"/>
        <v>0</v>
      </c>
      <c r="AL6" s="17" t="s">
        <v>22</v>
      </c>
      <c r="AM6" s="2"/>
      <c r="AN6" s="2">
        <f>IF(AN$3=0,0,J53-AN4)</f>
        <v>0</v>
      </c>
      <c r="AO6" s="3">
        <f>IF(AO$3=0,0,IF(AC29&lt;28,SUM($AC$2:$AK$2),SUM($AC$3:$AK$3)))</f>
        <v>0</v>
      </c>
      <c r="AP6" s="3">
        <f>IF(AP$3=0,0,IF(AC29&lt;28,SUM($AC$2:$AK$2),SUM($AC$3:$AK$3)))</f>
        <v>0</v>
      </c>
      <c r="AQ6" s="3">
        <f>IF(AQ$3=0,0,SUM($AC$3:$AK$3))</f>
        <v>0</v>
      </c>
      <c r="AR6" s="3">
        <f>IF(AR$3=0,0,SUM($AC$3:$AK$3))</f>
        <v>0</v>
      </c>
      <c r="AS6" s="3">
        <f>IF(AS$3=0,0,SUM($AC$3:$AK$3))</f>
        <v>0</v>
      </c>
      <c r="AT6" s="3">
        <f>IF(AT$3=0,0,SUM($AC$3:$AK$3))</f>
        <v>0</v>
      </c>
      <c r="AU6" s="3">
        <f>IF(AU$3=0,0,SUM($AC$3:$AK$3))</f>
        <v>0</v>
      </c>
      <c r="AV6" s="3">
        <f>IF(AV$3=0,0,SUM($AC$3:$AK$3))</f>
        <v>0</v>
      </c>
      <c r="AW6" s="3">
        <f>IF(AW$3=0,0,SUM($AC$3:$AK$3))</f>
        <v>0</v>
      </c>
      <c r="AX6" s="3">
        <f>IF(AX$3=0,0,SUM($AC$3:$AK$3))</f>
        <v>0</v>
      </c>
      <c r="AY6" s="3">
        <f>IF(AY$3=0,0,SUM($AC$3:$AK$3))</f>
        <v>0</v>
      </c>
    </row>
    <row r="7" spans="2:51" ht="12.75">
      <c r="B7" s="6"/>
      <c r="C7" s="6"/>
      <c r="D7" s="6"/>
      <c r="E7" s="6"/>
      <c r="F7" s="6"/>
      <c r="G7" s="29"/>
      <c r="H7" s="30" t="s">
        <v>26</v>
      </c>
      <c r="I7" s="7"/>
      <c r="P7" s="24" t="e">
        <f t="shared" si="4"/>
        <v>#VALUE!</v>
      </c>
      <c r="Q7" s="25" t="e">
        <f t="shared" si="5"/>
        <v>#VALUE!</v>
      </c>
      <c r="R7" s="26"/>
      <c r="S7" s="3">
        <f t="shared" si="2"/>
        <v>0</v>
      </c>
      <c r="T7" s="17"/>
      <c r="U7" s="26">
        <f t="shared" si="6"/>
        <v>0</v>
      </c>
      <c r="V7" s="26">
        <f t="shared" si="7"/>
        <v>0</v>
      </c>
      <c r="W7" s="26">
        <f t="shared" si="8"/>
        <v>0</v>
      </c>
      <c r="X7" s="26"/>
      <c r="Y7" s="26">
        <f t="shared" si="3"/>
        <v>0</v>
      </c>
      <c r="AC7" s="4"/>
      <c r="AH7" s="4"/>
      <c r="AL7" s="17" t="s">
        <v>24</v>
      </c>
      <c r="AM7" s="27"/>
      <c r="AN7" s="27">
        <f>IF(AN$3=0,0,AN5+IF(AC29&lt;7,1,IF(AC29&lt;28,7,35)))</f>
        <v>0</v>
      </c>
      <c r="AO7" s="27">
        <f>IF(AO$3=0,0,$D$27+IF(AC29&lt;28,7,35))</f>
        <v>0</v>
      </c>
      <c r="AP7" s="27">
        <f>IF(AP$3=0,0,$D$27+IF(AC29&lt;28,7,35))</f>
        <v>0</v>
      </c>
      <c r="AQ7" s="27">
        <f>IF(AQ$3=0,0,AQ5+35)</f>
        <v>0</v>
      </c>
      <c r="AR7" s="27">
        <f>IF(AR$3=0,0,AR5+35)</f>
        <v>0</v>
      </c>
      <c r="AS7" s="27">
        <f>IF(AS$3=0,0,AS5+35)</f>
        <v>0</v>
      </c>
      <c r="AT7" s="27">
        <f>IF(AT$3=0,0,AT5+35)</f>
        <v>0</v>
      </c>
      <c r="AU7" s="27">
        <f>IF(AU$3=0,0,AU5+35)</f>
        <v>0</v>
      </c>
      <c r="AV7" s="27">
        <f>IF(AV$3=0,0,AV5+35)</f>
        <v>0</v>
      </c>
      <c r="AW7" s="27">
        <f>IF(AW$3=0,0,AW5+35)</f>
        <v>0</v>
      </c>
      <c r="AX7" s="27">
        <f>IF(AX$3=0,0,AX5+35)</f>
        <v>0</v>
      </c>
      <c r="AY7" s="27">
        <f>IF(AY$3=0,0,AY5+35)</f>
        <v>0</v>
      </c>
    </row>
    <row r="8" spans="2:51" ht="12.75">
      <c r="B8" s="6"/>
      <c r="C8" s="6"/>
      <c r="D8" s="6"/>
      <c r="E8" s="6"/>
      <c r="F8" s="6"/>
      <c r="G8" s="29"/>
      <c r="H8" s="31" t="s">
        <v>27</v>
      </c>
      <c r="I8" s="1" t="s">
        <v>28</v>
      </c>
      <c r="J8" s="7"/>
      <c r="P8" s="24" t="e">
        <f t="shared" si="4"/>
        <v>#VALUE!</v>
      </c>
      <c r="Q8" s="25" t="e">
        <f t="shared" si="5"/>
        <v>#VALUE!</v>
      </c>
      <c r="R8" s="26"/>
      <c r="S8" s="3">
        <f t="shared" si="2"/>
        <v>0</v>
      </c>
      <c r="T8" s="17"/>
      <c r="U8" s="26">
        <f t="shared" si="6"/>
        <v>0</v>
      </c>
      <c r="V8" s="26">
        <f t="shared" si="7"/>
        <v>0</v>
      </c>
      <c r="W8" s="26">
        <f t="shared" si="8"/>
        <v>0</v>
      </c>
      <c r="X8" s="26"/>
      <c r="Y8" s="26">
        <f t="shared" si="3"/>
        <v>0</v>
      </c>
      <c r="AC8" s="4">
        <f>SUM(AC4:AK4)/13*5</f>
        <v>1308.0769230769233</v>
      </c>
      <c r="AH8" s="4"/>
      <c r="AL8" s="17" t="s">
        <v>22</v>
      </c>
      <c r="AM8" s="10"/>
      <c r="AN8" s="10"/>
      <c r="AO8" s="3">
        <f>IF(AO$3=0,0,J53-AO4-AO6)</f>
        <v>0</v>
      </c>
      <c r="AP8" s="3">
        <f>IF(AP$3=0,0,SUM($AC$4:$AK$4)/4*5-AP4-AP6)</f>
        <v>0</v>
      </c>
      <c r="AQ8" s="3">
        <f>IF(AQ$3=0,0,SUM($AC$4:$AK$4)-AQ4-AQ6)</f>
        <v>0</v>
      </c>
      <c r="AR8" s="3">
        <f>IF(AR$3=0,0,SUM($AC$4:$AK$4)-AR4-AR6)</f>
        <v>0</v>
      </c>
      <c r="AS8" s="3">
        <f>IF(AS$3=0,0,SUM($AC$4:$AK$4)-AS4-AS6)</f>
        <v>0</v>
      </c>
      <c r="AT8" s="3">
        <f>IF(AT$3=0,0,SUM($AC$4:$AK$4)-AT4-AT6)</f>
        <v>0</v>
      </c>
      <c r="AU8" s="3">
        <f>IF(AU$3=0,0,SUM($AC$4:$AK$4)-AU4-AU6)</f>
        <v>0</v>
      </c>
      <c r="AV8" s="3">
        <f>IF(AV$3=0,0,SUM($AC$4:$AK$4)-AV4-AV6)</f>
        <v>0</v>
      </c>
      <c r="AW8" s="3">
        <f>IF(AW$3=0,0,SUM($AC$4:$AK$4)-AW4-AW6)</f>
        <v>0</v>
      </c>
      <c r="AX8" s="3">
        <f>IF(AX$3=0,0,SUM($AC$4:$AK$4)-AX4-AX6)</f>
        <v>0</v>
      </c>
      <c r="AY8" s="3">
        <f>IF(AY$3=0,0,SUM($AC$4:$AK$4)-AY4-AY6)</f>
        <v>0</v>
      </c>
    </row>
    <row r="9" spans="2:51" ht="12.75">
      <c r="B9" s="6"/>
      <c r="C9" s="6"/>
      <c r="D9" s="6"/>
      <c r="E9" s="6"/>
      <c r="F9" s="6"/>
      <c r="G9" s="6"/>
      <c r="H9" s="32" t="s">
        <v>29</v>
      </c>
      <c r="I9" s="7"/>
      <c r="P9" s="24" t="e">
        <f t="shared" si="4"/>
        <v>#VALUE!</v>
      </c>
      <c r="Q9" s="25" t="e">
        <f t="shared" si="5"/>
        <v>#VALUE!</v>
      </c>
      <c r="R9" s="26"/>
      <c r="S9" s="3">
        <f t="shared" si="2"/>
        <v>0</v>
      </c>
      <c r="T9" s="17"/>
      <c r="U9" s="26">
        <f t="shared" si="6"/>
        <v>0</v>
      </c>
      <c r="V9" s="26">
        <f t="shared" si="7"/>
        <v>0</v>
      </c>
      <c r="W9" s="26">
        <f t="shared" si="8"/>
        <v>0</v>
      </c>
      <c r="X9" s="26"/>
      <c r="Y9" s="26">
        <f t="shared" si="3"/>
        <v>0</v>
      </c>
      <c r="AC9" s="4"/>
      <c r="AH9" s="4"/>
      <c r="AL9" s="17" t="s">
        <v>24</v>
      </c>
      <c r="AM9" s="10"/>
      <c r="AN9" s="10"/>
      <c r="AO9" s="27">
        <f>IF(AO$3=0,0,D$27+IF(AC29&lt;28,2*7,35+28))</f>
        <v>0</v>
      </c>
      <c r="AP9" s="27">
        <f>IF(AP$3=0,0,AP7+IF(AC29&lt;28,7,28))</f>
        <v>0</v>
      </c>
      <c r="AQ9" s="27">
        <f>IF(AQ$3=0,0,AQ7+28)</f>
        <v>0</v>
      </c>
      <c r="AR9" s="27">
        <f>IF(AR$3=0,0,AR7+28)</f>
        <v>0</v>
      </c>
      <c r="AS9" s="27">
        <f>IF(AS$3=0,0,AS7+28)</f>
        <v>0</v>
      </c>
      <c r="AT9" s="27">
        <f>IF(AT$3=0,0,AT7+28)</f>
        <v>0</v>
      </c>
      <c r="AU9" s="27">
        <f>IF(AU$3=0,0,AU7+28)</f>
        <v>0</v>
      </c>
      <c r="AV9" s="27">
        <f>IF(AV$3=0,0,AV7+28)</f>
        <v>0</v>
      </c>
      <c r="AW9" s="27">
        <f>IF(AW$3=0,0,AW7+28)</f>
        <v>0</v>
      </c>
      <c r="AX9" s="27">
        <f>IF(AX$3=0,0,AX7+28)</f>
        <v>0</v>
      </c>
      <c r="AY9" s="27">
        <f>IF(AY$3=0,0,AY7+28)</f>
        <v>0</v>
      </c>
    </row>
    <row r="10" spans="2:51" ht="12.75">
      <c r="B10" s="6"/>
      <c r="C10" s="6"/>
      <c r="D10" s="6"/>
      <c r="E10" s="6"/>
      <c r="F10" s="6"/>
      <c r="G10" s="6"/>
      <c r="H10" s="30"/>
      <c r="I10" s="7"/>
      <c r="P10" s="24" t="e">
        <f t="shared" si="4"/>
        <v>#VALUE!</v>
      </c>
      <c r="Q10" s="25" t="e">
        <f t="shared" si="5"/>
        <v>#VALUE!</v>
      </c>
      <c r="R10" s="26"/>
      <c r="S10" s="3">
        <f aca="true" t="shared" si="9" ref="S10:S13">IF(T10&gt;0,SUM(C$60:D$60)/M$29-SUM(R$5:R10)+SUM(W$5:W10)+X10,0)</f>
        <v>0</v>
      </c>
      <c r="T10" s="17"/>
      <c r="U10" s="26">
        <f t="shared" si="6"/>
        <v>0</v>
      </c>
      <c r="V10" s="26">
        <f t="shared" si="7"/>
        <v>0</v>
      </c>
      <c r="W10" s="26">
        <f t="shared" si="8"/>
        <v>0</v>
      </c>
      <c r="X10" s="26"/>
      <c r="Y10" s="26">
        <f t="shared" si="3"/>
        <v>0</v>
      </c>
      <c r="AL10" s="17" t="s">
        <v>22</v>
      </c>
      <c r="AM10" s="10"/>
      <c r="AN10" s="10"/>
      <c r="AO10" s="10"/>
      <c r="AP10" s="2">
        <f>IF(AP$3=0,0,$J53-AP4-AP6-AP8)</f>
        <v>0</v>
      </c>
      <c r="AQ10" s="2">
        <f>IF(AQ$3=0,0,SUM($AC$4:$AK$4)/(13/5))</f>
        <v>0</v>
      </c>
      <c r="AR10" s="2">
        <f>IF(AR$3=0,0,SUM($AC$4:$AK$4)/13*5)</f>
        <v>0</v>
      </c>
      <c r="AS10" s="2">
        <f>IF(AS$3=0,0,SUM($AC$4:$AK$4)/13*5)</f>
        <v>0</v>
      </c>
      <c r="AT10" s="2">
        <f>IF(AT$3=0,0,SUM($AC$4:$AK$4)/13*5)</f>
        <v>0</v>
      </c>
      <c r="AU10" s="2">
        <f>IF(AU$3=0,0,SUM($AC$4:$AK$4)/13*5)</f>
        <v>0</v>
      </c>
      <c r="AV10" s="2">
        <f>IF(AV$3=0,0,SUM($AC$4:$AK$4)/13*5)</f>
        <v>0</v>
      </c>
      <c r="AW10" s="2">
        <f>IF(AW$3=0,0,SUM($AC$4:$AK$4)/13*5)</f>
        <v>0</v>
      </c>
      <c r="AX10" s="2">
        <f>IF(AX$3=0,0,SUM($AC$4:$AK$4)/13*5)</f>
        <v>0</v>
      </c>
      <c r="AY10" s="2">
        <f>IF(AY$3=0,0,SUM($AC$4:$AK$4)/13*5)</f>
        <v>0</v>
      </c>
    </row>
    <row r="11" spans="2:51" ht="12.75">
      <c r="B11" s="6"/>
      <c r="C11" s="6"/>
      <c r="D11" s="6"/>
      <c r="E11" s="6"/>
      <c r="F11" s="6"/>
      <c r="G11" s="6"/>
      <c r="I11" s="7"/>
      <c r="P11" s="24" t="e">
        <f t="shared" si="4"/>
        <v>#VALUE!</v>
      </c>
      <c r="Q11" s="25" t="e">
        <f t="shared" si="5"/>
        <v>#VALUE!</v>
      </c>
      <c r="R11" s="26"/>
      <c r="S11" s="3">
        <f t="shared" si="9"/>
        <v>0</v>
      </c>
      <c r="T11" s="17"/>
      <c r="U11" s="26">
        <f t="shared" si="6"/>
        <v>0</v>
      </c>
      <c r="V11" s="26">
        <f t="shared" si="7"/>
        <v>0</v>
      </c>
      <c r="W11" s="26">
        <f t="shared" si="8"/>
        <v>0</v>
      </c>
      <c r="X11" s="26"/>
      <c r="Y11" s="26">
        <f t="shared" si="3"/>
        <v>0</v>
      </c>
      <c r="AL11" s="17" t="s">
        <v>30</v>
      </c>
      <c r="AM11" s="10"/>
      <c r="AN11" s="10"/>
      <c r="AO11" s="10"/>
      <c r="AP11" s="27">
        <f>IF(AP$3=0,0,AP9+IF(AC29&lt;28,7,28))</f>
        <v>0</v>
      </c>
      <c r="AQ11" s="27">
        <f>IF(AQ$3=0,0,AQ9+28)</f>
        <v>0</v>
      </c>
      <c r="AR11" s="33">
        <f>IF(AR$3=0,0,AR9+28)</f>
        <v>0</v>
      </c>
      <c r="AS11" s="33">
        <f>IF(AS$3=0,0,AS9+28)</f>
        <v>0</v>
      </c>
      <c r="AT11" s="33">
        <f>IF(AT$3=0,0,AT9+28)</f>
        <v>0</v>
      </c>
      <c r="AU11" s="33">
        <f>IF(AU$3=0,0,AU9+28)</f>
        <v>0</v>
      </c>
      <c r="AV11" s="33">
        <f>IF(AV$3=0,0,AV9+28)</f>
        <v>0</v>
      </c>
      <c r="AW11" s="33">
        <f>IF(AW$3=0,0,AW9+28)</f>
        <v>0</v>
      </c>
      <c r="AX11" s="33">
        <f>IF(AX$3=0,0,AX9+28)</f>
        <v>0</v>
      </c>
      <c r="AY11" s="33">
        <f>IF(AY$3=0,0,AY9+28)</f>
        <v>0</v>
      </c>
    </row>
    <row r="12" spans="2:51" ht="12.75">
      <c r="B12" s="6"/>
      <c r="C12" s="6"/>
      <c r="D12" s="6"/>
      <c r="E12" s="6"/>
      <c r="F12" s="6"/>
      <c r="G12" s="6"/>
      <c r="H12" s="34" t="s">
        <v>31</v>
      </c>
      <c r="I12" s="7"/>
      <c r="P12" s="24" t="e">
        <f t="shared" si="4"/>
        <v>#VALUE!</v>
      </c>
      <c r="Q12" s="25" t="e">
        <f t="shared" si="5"/>
        <v>#VALUE!</v>
      </c>
      <c r="R12" s="26"/>
      <c r="S12" s="3">
        <f t="shared" si="9"/>
        <v>0</v>
      </c>
      <c r="T12" s="17"/>
      <c r="U12" s="26">
        <f t="shared" si="6"/>
        <v>0</v>
      </c>
      <c r="V12" s="26">
        <f t="shared" si="7"/>
        <v>0</v>
      </c>
      <c r="W12" s="26">
        <f t="shared" si="8"/>
        <v>0</v>
      </c>
      <c r="X12" s="26"/>
      <c r="Y12" s="26">
        <f t="shared" si="3"/>
        <v>0</v>
      </c>
      <c r="AL12" s="17" t="s">
        <v>22</v>
      </c>
      <c r="AM12" s="10"/>
      <c r="AN12" s="10"/>
      <c r="AO12" s="10"/>
      <c r="AP12" s="2"/>
      <c r="AQ12" s="35">
        <f>IF(AQ$3=0,0,$J53-AQ4-AQ6-AQ8-AQ10)</f>
        <v>0</v>
      </c>
      <c r="AR12" s="2">
        <f>IF(AR$3=0,0,SUM($AC$4:$AK$4)/3)</f>
        <v>0</v>
      </c>
      <c r="AS12" s="2">
        <f>IF(AS$3=0,0,SUM($AC$4:$AK$4)/13*4)</f>
        <v>0</v>
      </c>
      <c r="AT12" s="2">
        <f>IF(AT$3=0,0,SUM($AC$4:$AK$4)/13*4)</f>
        <v>0</v>
      </c>
      <c r="AU12" s="2">
        <f>IF(AU$3=0,0,SUM($AC$4:$AK$4)/13*4)</f>
        <v>0</v>
      </c>
      <c r="AV12" s="2">
        <f>IF(AV$3=0,0,SUM($AC$4:$AK$4)/13*4)</f>
        <v>0</v>
      </c>
      <c r="AW12" s="2">
        <f>IF(AW$3=0,0,SUM($AC$4:$AK$4)/13*4)</f>
        <v>0</v>
      </c>
      <c r="AX12" s="2">
        <f>IF(AX$3=0,0,SUM($AC$4:$AK$4)/13*4)</f>
        <v>0</v>
      </c>
      <c r="AY12" s="2">
        <f>IF(AY$3=0,0,SUM($AC$4:$AK$4)/13*4)</f>
        <v>0</v>
      </c>
    </row>
    <row r="13" spans="8:51" ht="12.75">
      <c r="H13" s="1" t="s">
        <v>32</v>
      </c>
      <c r="I13" s="7"/>
      <c r="P13" s="24" t="e">
        <f t="shared" si="4"/>
        <v>#VALUE!</v>
      </c>
      <c r="Q13" s="25" t="e">
        <f t="shared" si="5"/>
        <v>#VALUE!</v>
      </c>
      <c r="R13" s="26"/>
      <c r="S13" s="3">
        <f t="shared" si="9"/>
        <v>0</v>
      </c>
      <c r="T13" s="17"/>
      <c r="U13" s="26">
        <f t="shared" si="6"/>
        <v>0</v>
      </c>
      <c r="V13" s="26">
        <f t="shared" si="7"/>
        <v>0</v>
      </c>
      <c r="W13" s="26">
        <f t="shared" si="8"/>
        <v>0</v>
      </c>
      <c r="X13" s="26"/>
      <c r="Y13" s="26">
        <f t="shared" si="3"/>
        <v>0</v>
      </c>
      <c r="AL13" s="17" t="s">
        <v>30</v>
      </c>
      <c r="AM13" s="10"/>
      <c r="AN13" s="10"/>
      <c r="AO13" s="10"/>
      <c r="AP13" s="10"/>
      <c r="AQ13" s="27">
        <f>IF(AQ$3=0,0,AQ11+35)</f>
        <v>0</v>
      </c>
      <c r="AR13" s="33">
        <f>IF(AR$3=0,0,AR11+35)</f>
        <v>0</v>
      </c>
      <c r="AS13" s="33">
        <f>IF(AS$3=0,0,AS11+35)</f>
        <v>0</v>
      </c>
      <c r="AT13" s="33">
        <f>IF(AT$3=0,0,AT11+35)</f>
        <v>0</v>
      </c>
      <c r="AU13" s="33">
        <f>IF(AU$3=0,0,AU11+35)</f>
        <v>0</v>
      </c>
      <c r="AV13" s="33">
        <f>IF(AV$3=0,0,AV11+35)</f>
        <v>0</v>
      </c>
      <c r="AW13" s="33">
        <f>IF(AW$3=0,0,AW11+35)</f>
        <v>0</v>
      </c>
      <c r="AX13" s="33">
        <f>IF(AX$3=0,0,AX11+35)</f>
        <v>0</v>
      </c>
      <c r="AY13" s="33">
        <f>IF(AY$3=0,0,AY11+35)</f>
        <v>0</v>
      </c>
    </row>
    <row r="14" spans="8:51" ht="12.75">
      <c r="H14" s="1" t="s">
        <v>33</v>
      </c>
      <c r="I14" s="7"/>
      <c r="P14" s="24" t="e">
        <f t="shared" si="4"/>
        <v>#VALUE!</v>
      </c>
      <c r="Q14" s="25" t="e">
        <f t="shared" si="5"/>
        <v>#VALUE!</v>
      </c>
      <c r="R14" s="26"/>
      <c r="S14" s="3">
        <f aca="true" t="shared" si="10" ref="S14:S17">IF(T14&gt;0,SUM(C$60:E$60)/M$29-SUM(R$5:R14)+SUM(W$5:W14)+X14,0)</f>
        <v>0</v>
      </c>
      <c r="T14" s="17"/>
      <c r="U14" s="26">
        <f t="shared" si="6"/>
        <v>0</v>
      </c>
      <c r="V14" s="26">
        <f t="shared" si="7"/>
        <v>0</v>
      </c>
      <c r="W14" s="26">
        <f t="shared" si="8"/>
        <v>0</v>
      </c>
      <c r="X14" s="26"/>
      <c r="Y14" s="26">
        <f t="shared" si="3"/>
        <v>0</v>
      </c>
      <c r="AL14" s="17" t="s">
        <v>22</v>
      </c>
      <c r="AM14" s="10"/>
      <c r="AN14" s="10"/>
      <c r="AO14" s="10"/>
      <c r="AP14" s="10"/>
      <c r="AQ14" s="10"/>
      <c r="AR14" s="35">
        <f>IF(AR$3=0,0,$J$53-AR4-AR6-AR8-AR10-AR12)</f>
        <v>0</v>
      </c>
      <c r="AS14" s="3">
        <f>IF(AS$3=0,0,SUM($AC$4:$AK$4)-AS10-AS12)</f>
        <v>0</v>
      </c>
      <c r="AT14" s="3">
        <f>IF(AT$3=0,0,SUM($AC$4:$AK$4)/13*4)</f>
        <v>0</v>
      </c>
      <c r="AU14" s="3">
        <f>IF(AU$3=0,0,SUM($AC$4:$AK$4)/13*4)</f>
        <v>0</v>
      </c>
      <c r="AV14" s="3">
        <f>IF(AV$3=0,0,SUM($AC$4:$AK$4)/13*4)</f>
        <v>0</v>
      </c>
      <c r="AW14" s="3">
        <f>IF(AW$3=0,0,SUM($AC$4:$AK$4)/13*4)</f>
        <v>0</v>
      </c>
      <c r="AX14" s="3">
        <f>IF(AX$3=0,0,SUM($AC$4:$AK$4)/13*4)</f>
        <v>0</v>
      </c>
      <c r="AY14" s="3">
        <f>IF(AY$3=0,0,SUM($AC$4:$AK$4)/13*4)</f>
        <v>0</v>
      </c>
    </row>
    <row r="15" spans="4:51" ht="12.75">
      <c r="D15" s="36" t="s">
        <v>34</v>
      </c>
      <c r="E15" s="36"/>
      <c r="F15" s="37"/>
      <c r="G15" s="36" t="s">
        <v>35</v>
      </c>
      <c r="H15" s="37"/>
      <c r="I15" s="38" t="s">
        <v>36</v>
      </c>
      <c r="P15" s="24" t="e">
        <f t="shared" si="4"/>
        <v>#VALUE!</v>
      </c>
      <c r="Q15" s="25" t="e">
        <f t="shared" si="5"/>
        <v>#VALUE!</v>
      </c>
      <c r="R15" s="26"/>
      <c r="S15" s="3">
        <f t="shared" si="10"/>
        <v>0</v>
      </c>
      <c r="T15" s="17"/>
      <c r="U15" s="26">
        <f t="shared" si="6"/>
        <v>0</v>
      </c>
      <c r="V15" s="26">
        <f t="shared" si="7"/>
        <v>0</v>
      </c>
      <c r="W15" s="26">
        <f t="shared" si="8"/>
        <v>0</v>
      </c>
      <c r="X15" s="26"/>
      <c r="Y15" s="26">
        <f t="shared" si="3"/>
        <v>0</v>
      </c>
      <c r="AL15" s="17" t="s">
        <v>30</v>
      </c>
      <c r="AM15" s="10"/>
      <c r="AN15" s="10"/>
      <c r="AO15" s="10"/>
      <c r="AP15" s="10"/>
      <c r="AQ15" s="10"/>
      <c r="AR15" s="33">
        <f>IF(AR$3=0,0,AR13+28)</f>
        <v>0</v>
      </c>
      <c r="AS15" s="33">
        <f>IF(AS$3=0,0,AS13+28)</f>
        <v>0</v>
      </c>
      <c r="AT15" s="33">
        <f>IF(AT$3=0,0,AT13+28)</f>
        <v>0</v>
      </c>
      <c r="AU15" s="33">
        <f>IF(AU$3=0,0,AU13+28)</f>
        <v>0</v>
      </c>
      <c r="AV15" s="33">
        <f>IF(AV$3=0,0,AV13+28)</f>
        <v>0</v>
      </c>
      <c r="AW15" s="33">
        <f>IF(AW$3=0,0,AW13+28)</f>
        <v>0</v>
      </c>
      <c r="AX15" s="33">
        <f>IF(AX$3=0,0,AX13+28)</f>
        <v>0</v>
      </c>
      <c r="AY15" s="33">
        <f>IF(AY$3=0,0,AY13+28)</f>
        <v>0</v>
      </c>
    </row>
    <row r="16" spans="4:51" ht="12.75">
      <c r="D16" s="39"/>
      <c r="E16" s="18"/>
      <c r="G16" s="40"/>
      <c r="I16" s="11"/>
      <c r="P16" s="24" t="e">
        <f t="shared" si="4"/>
        <v>#VALUE!</v>
      </c>
      <c r="Q16" s="25" t="e">
        <f t="shared" si="5"/>
        <v>#VALUE!</v>
      </c>
      <c r="R16" s="26"/>
      <c r="S16" s="3">
        <f t="shared" si="10"/>
        <v>0</v>
      </c>
      <c r="T16" s="17"/>
      <c r="U16" s="26">
        <f t="shared" si="6"/>
        <v>0</v>
      </c>
      <c r="V16" s="26">
        <f t="shared" si="7"/>
        <v>0</v>
      </c>
      <c r="W16" s="26">
        <f t="shared" si="8"/>
        <v>0</v>
      </c>
      <c r="X16" s="26"/>
      <c r="Y16" s="26">
        <f t="shared" si="3"/>
        <v>0</v>
      </c>
      <c r="AL16" s="17" t="s">
        <v>22</v>
      </c>
      <c r="AM16" s="10"/>
      <c r="AN16" s="10"/>
      <c r="AO16" s="10"/>
      <c r="AP16" s="10"/>
      <c r="AQ16" s="10"/>
      <c r="AR16" s="10"/>
      <c r="AS16" s="35">
        <f>IF(AS$3=0,0,$J$53-AS4-AS6-AS8-AS10-AS12-AS14)</f>
        <v>0</v>
      </c>
      <c r="AT16" s="2">
        <f>IF(AT$3=0,0,SUM($AC$5:$AK$5)/26*5)</f>
        <v>0</v>
      </c>
      <c r="AU16" s="2">
        <f>IF(AU$3=0,0,SUM($AC$5:$AK$5)/26*5)</f>
        <v>0</v>
      </c>
      <c r="AV16" s="2">
        <f>IF(AV$3=0,0,SUM($AC$5:$AK$5)/26*5)</f>
        <v>0</v>
      </c>
      <c r="AW16" s="2">
        <f>IF(AW$3=0,0,SUM($AC$5:$AK$5)/26*5)</f>
        <v>0</v>
      </c>
      <c r="AX16" s="2">
        <f>IF(AX$3=0,0,SUM($AC$5:$AK$5)/26*5)</f>
        <v>0</v>
      </c>
      <c r="AY16" s="2">
        <f>IF(AY$3=0,0,SUM($AC$5:$AK$5)/26*5)</f>
        <v>0</v>
      </c>
    </row>
    <row r="17" spans="1:51" ht="12.75">
      <c r="A17" s="41"/>
      <c r="B17" s="42" t="s">
        <v>37</v>
      </c>
      <c r="C17" s="41" t="s">
        <v>38</v>
      </c>
      <c r="G17" s="43" t="s">
        <v>39</v>
      </c>
      <c r="H17" s="41" t="s">
        <v>40</v>
      </c>
      <c r="P17" s="24" t="e">
        <f t="shared" si="4"/>
        <v>#VALUE!</v>
      </c>
      <c r="Q17" s="25" t="e">
        <f t="shared" si="5"/>
        <v>#VALUE!</v>
      </c>
      <c r="R17" s="26"/>
      <c r="S17" s="3">
        <f t="shared" si="10"/>
        <v>0</v>
      </c>
      <c r="T17" s="17"/>
      <c r="U17" s="26">
        <f t="shared" si="6"/>
        <v>0</v>
      </c>
      <c r="V17" s="26">
        <f t="shared" si="7"/>
        <v>0</v>
      </c>
      <c r="W17" s="26">
        <f t="shared" si="8"/>
        <v>0</v>
      </c>
      <c r="X17" s="26"/>
      <c r="Y17" s="26">
        <f t="shared" si="3"/>
        <v>0</v>
      </c>
      <c r="AL17" s="17" t="s">
        <v>30</v>
      </c>
      <c r="AM17" s="10"/>
      <c r="AN17" s="10"/>
      <c r="AO17" s="10"/>
      <c r="AP17" s="10"/>
      <c r="AQ17" s="10"/>
      <c r="AR17" s="10"/>
      <c r="AS17" s="33">
        <f>IF(AS$3=0,0,AS15+28)</f>
        <v>0</v>
      </c>
      <c r="AT17" s="33">
        <f>IF(AT$3=0,0,AT15+28)</f>
        <v>0</v>
      </c>
      <c r="AU17" s="33">
        <f>IF(AU$3=0,0,AU15+28)</f>
        <v>0</v>
      </c>
      <c r="AV17" s="33">
        <f>IF(AV$3=0,0,AV15+28)</f>
        <v>0</v>
      </c>
      <c r="AW17" s="33">
        <f>IF(AW$3=0,0,AW15+28)</f>
        <v>0</v>
      </c>
      <c r="AX17" s="33">
        <f>IF(AX$3=0,0,AX15+28)</f>
        <v>0</v>
      </c>
      <c r="AY17" s="33">
        <f>IF(AY$3=0,0,AY15+28)</f>
        <v>0</v>
      </c>
    </row>
    <row r="18" spans="16:51" ht="12.75">
      <c r="P18" s="24" t="e">
        <f t="shared" si="4"/>
        <v>#VALUE!</v>
      </c>
      <c r="Q18" s="25" t="e">
        <f t="shared" si="5"/>
        <v>#VALUE!</v>
      </c>
      <c r="R18" s="26"/>
      <c r="S18" s="3">
        <f aca="true" t="shared" si="11" ref="S18:S22">IF(T18&gt;0,SUM(C$60:F$60)/M$29-SUM(R$5:R18)+SUM(W$5:W18)+X18,0)</f>
        <v>0</v>
      </c>
      <c r="T18" s="17"/>
      <c r="U18" s="26">
        <f t="shared" si="6"/>
        <v>0</v>
      </c>
      <c r="V18" s="26">
        <f t="shared" si="7"/>
        <v>0</v>
      </c>
      <c r="W18" s="26">
        <f t="shared" si="8"/>
        <v>0</v>
      </c>
      <c r="X18" s="26"/>
      <c r="Y18" s="26">
        <f t="shared" si="3"/>
        <v>0</v>
      </c>
      <c r="AL18" s="17" t="s">
        <v>22</v>
      </c>
      <c r="AM18" s="10"/>
      <c r="AN18" s="10"/>
      <c r="AO18" s="10"/>
      <c r="AP18" s="10"/>
      <c r="AQ18" s="10"/>
      <c r="AR18" s="10"/>
      <c r="AS18" s="10"/>
      <c r="AT18" s="35">
        <f>IF(AT$3=0,0,$J$53-AT4-AT6-AT8-AT10-AT12-AT14-AT16)</f>
        <v>0</v>
      </c>
      <c r="AU18" s="2">
        <f>IF(AU$3=0,0,SUM($AC$5:$AK$5)/26*4)</f>
        <v>0</v>
      </c>
      <c r="AV18" s="2">
        <f>IF(AV$3=0,0,SUM($AC$5:$AK$5)/26*4)</f>
        <v>0</v>
      </c>
      <c r="AW18" s="2">
        <f>IF(AW$3=0,0,SUM($AC$5:$AK$5)/26*4)</f>
        <v>0</v>
      </c>
      <c r="AX18" s="2">
        <f>IF(AX$3=0,0,SUM($AC$5:$AK$5)/26*4)</f>
        <v>0</v>
      </c>
      <c r="AY18" s="2">
        <f>IF(AY$3=0,0,SUM($AC$5:$AK$5)/26*4)</f>
        <v>0</v>
      </c>
    </row>
    <row r="19" spans="1:51" ht="14.25">
      <c r="A19" s="41"/>
      <c r="B19" s="44" t="s">
        <v>41</v>
      </c>
      <c r="C19" s="45" t="s">
        <v>42</v>
      </c>
      <c r="E19" s="17" t="s">
        <v>43</v>
      </c>
      <c r="F19" s="46" t="s">
        <v>44</v>
      </c>
      <c r="H19" s="17" t="s">
        <v>45</v>
      </c>
      <c r="I19" s="41" t="s">
        <v>46</v>
      </c>
      <c r="P19" s="24" t="e">
        <f t="shared" si="4"/>
        <v>#VALUE!</v>
      </c>
      <c r="Q19" s="25" t="e">
        <f t="shared" si="5"/>
        <v>#VALUE!</v>
      </c>
      <c r="R19" s="26"/>
      <c r="S19" s="3">
        <f t="shared" si="11"/>
        <v>0</v>
      </c>
      <c r="T19" s="17"/>
      <c r="U19" s="26">
        <f t="shared" si="6"/>
        <v>0</v>
      </c>
      <c r="V19" s="26">
        <f t="shared" si="7"/>
        <v>0</v>
      </c>
      <c r="W19" s="26">
        <f t="shared" si="8"/>
        <v>0</v>
      </c>
      <c r="X19" s="26"/>
      <c r="Y19" s="26">
        <f t="shared" si="3"/>
        <v>0</v>
      </c>
      <c r="AF19" s="17"/>
      <c r="AL19" s="17" t="s">
        <v>30</v>
      </c>
      <c r="AM19" s="10"/>
      <c r="AN19" s="10"/>
      <c r="AO19" s="10"/>
      <c r="AP19" s="10"/>
      <c r="AQ19" s="10"/>
      <c r="AR19" s="10"/>
      <c r="AS19" s="10"/>
      <c r="AT19" s="33">
        <f>IF(AT$3=0,0,AT17+35)</f>
        <v>0</v>
      </c>
      <c r="AU19" s="33">
        <f>IF(AU$3=0,0,AU17+35)</f>
        <v>0</v>
      </c>
      <c r="AV19" s="33">
        <f>IF(AV$3=0,0,AV17+35)</f>
        <v>0</v>
      </c>
      <c r="AW19" s="33">
        <f>IF(AW$3=0,0,AW17+35)</f>
        <v>0</v>
      </c>
      <c r="AX19" s="33">
        <f>IF(AX$3=0,0,AX17+35)</f>
        <v>0</v>
      </c>
      <c r="AY19" s="33">
        <f>IF(AY$3=0,0,AY17+35)</f>
        <v>0</v>
      </c>
    </row>
    <row r="20" spans="16:51" ht="12.75">
      <c r="P20" s="24" t="e">
        <f t="shared" si="4"/>
        <v>#VALUE!</v>
      </c>
      <c r="Q20" s="25" t="e">
        <f t="shared" si="5"/>
        <v>#VALUE!</v>
      </c>
      <c r="R20" s="26"/>
      <c r="S20" s="3">
        <f t="shared" si="11"/>
        <v>0</v>
      </c>
      <c r="T20" s="17"/>
      <c r="U20" s="26">
        <f t="shared" si="6"/>
        <v>0</v>
      </c>
      <c r="V20" s="26">
        <f t="shared" si="7"/>
        <v>0</v>
      </c>
      <c r="W20" s="26">
        <f t="shared" si="8"/>
        <v>0</v>
      </c>
      <c r="X20" s="26"/>
      <c r="Y20" s="26">
        <f t="shared" si="3"/>
        <v>0</v>
      </c>
      <c r="AB20" s="1">
        <v>1</v>
      </c>
      <c r="AC20" s="17" t="s">
        <v>47</v>
      </c>
      <c r="AD20" s="1">
        <v>1</v>
      </c>
      <c r="AE20" s="1" t="s">
        <v>48</v>
      </c>
      <c r="AF20" s="2"/>
      <c r="AL20" s="17" t="s">
        <v>22</v>
      </c>
      <c r="AM20" s="10"/>
      <c r="AN20" s="10"/>
      <c r="AO20" s="10"/>
      <c r="AP20" s="10"/>
      <c r="AQ20" s="10"/>
      <c r="AR20" s="10"/>
      <c r="AS20" s="10"/>
      <c r="AT20" s="10"/>
      <c r="AU20" s="35">
        <f>IF(AU$3=0,0,$J$53-AU4-AU6-AU8-AU10-AU12-AU14-AU16-AU18)</f>
        <v>0</v>
      </c>
      <c r="AV20" s="2">
        <f>IF(AV$3=0,0,SUM($AC$5:$AK$5)/26*4)</f>
        <v>0</v>
      </c>
      <c r="AW20" s="2">
        <f>IF(AW$3=0,0,SUM($AC$5:$AK$5)/26*4)</f>
        <v>0</v>
      </c>
      <c r="AX20" s="2">
        <f>IF(AX$3=0,0,SUM($AC$5:$AK$5)/26*4)</f>
        <v>0</v>
      </c>
      <c r="AY20" s="2">
        <f>IF(AY$3=0,0,SUM($AC$5:$AK$5)/26*4)</f>
        <v>0</v>
      </c>
    </row>
    <row r="21" spans="1:51" ht="12.75">
      <c r="A21" s="41"/>
      <c r="B21" s="42" t="s">
        <v>49</v>
      </c>
      <c r="C21" s="41" t="s">
        <v>38</v>
      </c>
      <c r="G21" s="43" t="s">
        <v>39</v>
      </c>
      <c r="H21" s="7"/>
      <c r="I21" s="7"/>
      <c r="P21" s="24" t="e">
        <f t="shared" si="4"/>
        <v>#VALUE!</v>
      </c>
      <c r="Q21" s="25" t="e">
        <f t="shared" si="5"/>
        <v>#VALUE!</v>
      </c>
      <c r="R21" s="26"/>
      <c r="S21" s="3">
        <f t="shared" si="11"/>
        <v>0</v>
      </c>
      <c r="T21" s="17"/>
      <c r="U21" s="26">
        <f t="shared" si="6"/>
        <v>0</v>
      </c>
      <c r="V21" s="26">
        <f t="shared" si="7"/>
        <v>0</v>
      </c>
      <c r="W21" s="26">
        <f t="shared" si="8"/>
        <v>0</v>
      </c>
      <c r="X21" s="26"/>
      <c r="Y21" s="26">
        <f t="shared" si="3"/>
        <v>0</v>
      </c>
      <c r="AB21" s="1">
        <v>2</v>
      </c>
      <c r="AD21" s="1">
        <v>0.5</v>
      </c>
      <c r="AE21" s="1" t="s">
        <v>50</v>
      </c>
      <c r="AF21" s="2"/>
      <c r="AL21" s="17" t="s">
        <v>30</v>
      </c>
      <c r="AM21" s="10"/>
      <c r="AN21" s="10"/>
      <c r="AO21" s="10"/>
      <c r="AP21" s="10"/>
      <c r="AQ21" s="10"/>
      <c r="AR21" s="10"/>
      <c r="AS21" s="10"/>
      <c r="AT21" s="10"/>
      <c r="AU21" s="33">
        <f>IF(AU$3=0,0,AU19+28)</f>
        <v>0</v>
      </c>
      <c r="AV21" s="33">
        <f>IF(AV$3=0,0,AV19+28)</f>
        <v>0</v>
      </c>
      <c r="AW21" s="33">
        <f>IF(AW$3=0,0,AW19+28)</f>
        <v>0</v>
      </c>
      <c r="AX21" s="33">
        <f>IF(AX$3=0,0,AX19+28)</f>
        <v>0</v>
      </c>
      <c r="AY21" s="33">
        <f>IF(AY$3=0,0,AY19+28)</f>
        <v>0</v>
      </c>
    </row>
    <row r="22" spans="16:52" ht="12.75">
      <c r="P22" s="24" t="e">
        <f t="shared" si="4"/>
        <v>#VALUE!</v>
      </c>
      <c r="Q22" s="25" t="e">
        <f t="shared" si="5"/>
        <v>#VALUE!</v>
      </c>
      <c r="R22" s="26"/>
      <c r="S22" s="3">
        <f t="shared" si="11"/>
        <v>0</v>
      </c>
      <c r="T22" s="17"/>
      <c r="U22" s="26">
        <f t="shared" si="6"/>
        <v>0</v>
      </c>
      <c r="V22" s="26">
        <f t="shared" si="7"/>
        <v>0</v>
      </c>
      <c r="W22" s="26">
        <f t="shared" si="8"/>
        <v>0</v>
      </c>
      <c r="X22" s="26"/>
      <c r="Y22" s="26">
        <f t="shared" si="3"/>
        <v>0</v>
      </c>
      <c r="AB22" s="1">
        <v>3</v>
      </c>
      <c r="AD22" s="1">
        <v>0.45</v>
      </c>
      <c r="AE22" s="1" t="s">
        <v>51</v>
      </c>
      <c r="AF22" s="2"/>
      <c r="AL22" s="17" t="s">
        <v>22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35">
        <f>IF(AV$3=0,0,$J$53-AV4-AV6-AV8-AV10-AV12-AV14-AV16-AV18-AV20)</f>
        <v>0</v>
      </c>
      <c r="AW22" s="2">
        <f>IF(AW$3=0,0,SUM($AC$5:$AK$5)/26*5)</f>
        <v>0</v>
      </c>
      <c r="AX22" s="2">
        <f>IF(AX$3=0,0,SUM($AC$5:$AK$5)/26*5)</f>
        <v>0</v>
      </c>
      <c r="AY22" s="2">
        <f>IF(AY$3=0,0,SUM($AC$5:$AK$5)/26*5)</f>
        <v>0</v>
      </c>
      <c r="AZ22" s="2"/>
    </row>
    <row r="23" spans="1:52" ht="14.25">
      <c r="A23" s="41"/>
      <c r="C23" s="41" t="s">
        <v>38</v>
      </c>
      <c r="G23" s="43" t="s">
        <v>39</v>
      </c>
      <c r="H23" s="1" t="s">
        <v>52</v>
      </c>
      <c r="P23" s="24" t="e">
        <f t="shared" si="4"/>
        <v>#VALUE!</v>
      </c>
      <c r="Q23" s="25" t="e">
        <f t="shared" si="5"/>
        <v>#VALUE!</v>
      </c>
      <c r="R23" s="26"/>
      <c r="S23" s="3">
        <f aca="true" t="shared" si="12" ref="S23:S26">IF(T23&gt;0,SUM(C$60:G$60)/M$29-SUM(R$5:R23)+SUM(W$5:W23)+X23,0)</f>
        <v>0</v>
      </c>
      <c r="T23" s="17"/>
      <c r="U23" s="26">
        <f t="shared" si="6"/>
        <v>0</v>
      </c>
      <c r="V23" s="26">
        <f t="shared" si="7"/>
        <v>0</v>
      </c>
      <c r="W23" s="26">
        <f t="shared" si="8"/>
        <v>0</v>
      </c>
      <c r="X23" s="26"/>
      <c r="Y23" s="26">
        <f t="shared" si="3"/>
        <v>0</v>
      </c>
      <c r="AB23" s="1">
        <v>4</v>
      </c>
      <c r="AD23" s="1">
        <v>0.38</v>
      </c>
      <c r="AE23" s="1" t="s">
        <v>53</v>
      </c>
      <c r="AF23" s="2"/>
      <c r="AL23" s="17" t="s">
        <v>30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33">
        <f>IF(AV$3=0,0,AV21+28)</f>
        <v>0</v>
      </c>
      <c r="AW23" s="33">
        <f>IF(AW$3=0,0,AW21+28)</f>
        <v>0</v>
      </c>
      <c r="AX23" s="33">
        <f>IF(AX$3=0,0,AX21+28)</f>
        <v>0</v>
      </c>
      <c r="AY23" s="33">
        <f>IF(AY$3=0,0,AY21+28)</f>
        <v>0</v>
      </c>
      <c r="AZ23" s="33"/>
    </row>
    <row r="24" spans="16:51" ht="12.75">
      <c r="P24" s="24" t="e">
        <f t="shared" si="4"/>
        <v>#VALUE!</v>
      </c>
      <c r="Q24" s="25" t="e">
        <f t="shared" si="5"/>
        <v>#VALUE!</v>
      </c>
      <c r="R24" s="26"/>
      <c r="S24" s="3">
        <f t="shared" si="12"/>
        <v>0</v>
      </c>
      <c r="T24" s="26"/>
      <c r="U24" s="26">
        <f t="shared" si="6"/>
        <v>0</v>
      </c>
      <c r="V24" s="26">
        <f t="shared" si="7"/>
        <v>0</v>
      </c>
      <c r="W24" s="26">
        <f t="shared" si="8"/>
        <v>0</v>
      </c>
      <c r="X24" s="26"/>
      <c r="Y24" s="26">
        <f t="shared" si="3"/>
        <v>0</v>
      </c>
      <c r="AB24" s="41"/>
      <c r="AL24" s="17" t="s">
        <v>22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35">
        <f>IF(AW$3=0,0,$J$53-AW4-AW6-AW8-AW10-AW12-AW14-AW16-AW18-AW20-AW22)</f>
        <v>0</v>
      </c>
      <c r="AX24" s="2">
        <f>IF(AX$3=0,0,SUM($AC$5:$AK$5)/26*4)</f>
        <v>0</v>
      </c>
      <c r="AY24" s="2">
        <f>IF(AY$3=0,0,SUM($AC$5:$AK$5)/26*4)</f>
        <v>0</v>
      </c>
    </row>
    <row r="25" spans="3:51" ht="14.25">
      <c r="C25" s="41" t="s">
        <v>38</v>
      </c>
      <c r="G25" s="43" t="s">
        <v>39</v>
      </c>
      <c r="H25" s="47" t="s">
        <v>54</v>
      </c>
      <c r="I25" s="1">
        <f>IF(H25="","x si terasse couverte désiré",IF(H25="!","seulement studio avec terasse couverte disponible","studio avec terasse couverte (vide si non désiré)"))</f>
        <v>0</v>
      </c>
      <c r="P25" s="24" t="e">
        <f t="shared" si="4"/>
        <v>#VALUE!</v>
      </c>
      <c r="Q25" s="25" t="e">
        <f t="shared" si="5"/>
        <v>#VALUE!</v>
      </c>
      <c r="R25" s="26"/>
      <c r="S25" s="3">
        <f t="shared" si="12"/>
        <v>0</v>
      </c>
      <c r="T25" s="26"/>
      <c r="U25" s="26">
        <f t="shared" si="6"/>
        <v>0</v>
      </c>
      <c r="V25" s="26">
        <f t="shared" si="7"/>
        <v>0</v>
      </c>
      <c r="W25" s="26">
        <f t="shared" si="8"/>
        <v>0</v>
      </c>
      <c r="X25" s="26"/>
      <c r="Y25" s="26">
        <f t="shared" si="3"/>
        <v>0</v>
      </c>
      <c r="AL25" s="17" t="s">
        <v>30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33">
        <f>IF(AW$3=0,0,AW23+35)</f>
        <v>0</v>
      </c>
      <c r="AX25" s="33">
        <f>IF(AX$3=0,0,AX23+35)</f>
        <v>0</v>
      </c>
      <c r="AY25" s="33">
        <f>IF(AY$3=0,0,AY23+35)</f>
        <v>0</v>
      </c>
    </row>
    <row r="26" spans="16:51" ht="12.75">
      <c r="P26" s="24" t="e">
        <f t="shared" si="4"/>
        <v>#VALUE!</v>
      </c>
      <c r="Q26" s="25" t="e">
        <f t="shared" si="5"/>
        <v>#VALUE!</v>
      </c>
      <c r="R26" s="26"/>
      <c r="S26" s="3">
        <f t="shared" si="12"/>
        <v>0</v>
      </c>
      <c r="T26" s="26"/>
      <c r="U26" s="26">
        <f t="shared" si="6"/>
        <v>0</v>
      </c>
      <c r="V26" s="26">
        <f t="shared" si="7"/>
        <v>0</v>
      </c>
      <c r="W26" s="26">
        <f t="shared" si="8"/>
        <v>0</v>
      </c>
      <c r="X26" s="26"/>
      <c r="Y26" s="26">
        <f t="shared" si="3"/>
        <v>0</v>
      </c>
      <c r="AL26" s="17" t="s">
        <v>22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35">
        <f>IF(AX$3=0,0,$J$53-AX4-AX6-AX8-AX10-AX12-AX14-AX16-AX18-AX20-AX22-AX24)</f>
        <v>0</v>
      </c>
      <c r="AY26" s="2">
        <f>IF(AY$3=0,0,SUM($AC$5:$AK$5)/26*4)</f>
        <v>0</v>
      </c>
    </row>
    <row r="27" spans="2:51" ht="12.75">
      <c r="B27" s="42" t="s">
        <v>55</v>
      </c>
      <c r="C27" s="17" t="s">
        <v>56</v>
      </c>
      <c r="D27" s="48" t="s">
        <v>57</v>
      </c>
      <c r="E27" s="37" t="s">
        <v>58</v>
      </c>
      <c r="F27" s="48" t="s">
        <v>57</v>
      </c>
      <c r="G27" s="1" t="s">
        <v>59</v>
      </c>
      <c r="K27" s="17">
        <v>1</v>
      </c>
      <c r="L27" s="49" t="s">
        <v>60</v>
      </c>
      <c r="N27" s="49"/>
      <c r="O27" s="49"/>
      <c r="P27" s="24" t="e">
        <f t="shared" si="4"/>
        <v>#VALUE!</v>
      </c>
      <c r="Q27" s="25" t="e">
        <f t="shared" si="5"/>
        <v>#VALUE!</v>
      </c>
      <c r="R27" s="26"/>
      <c r="S27" s="3">
        <f aca="true" t="shared" si="13" ref="S27:S30">IF(T27&gt;0,SUM(C$60:H$60)/M$29-SUM(R$5:R27)+SUM(W$5:W27)+X27,0)</f>
        <v>0</v>
      </c>
      <c r="T27" s="26"/>
      <c r="U27" s="26">
        <f t="shared" si="6"/>
        <v>0</v>
      </c>
      <c r="V27" s="26">
        <f t="shared" si="7"/>
        <v>0</v>
      </c>
      <c r="W27" s="26">
        <f t="shared" si="8"/>
        <v>0</v>
      </c>
      <c r="X27" s="26"/>
      <c r="Y27" s="26">
        <f t="shared" si="3"/>
        <v>0</v>
      </c>
      <c r="AB27" s="50"/>
      <c r="AD27" s="1" t="e">
        <f>AD29*AD31*$AH31+AD29*AD32*$AH32+AD29*AD33*$AH33+AD29*AD34*$AH34</f>
        <v>#VALUE!</v>
      </c>
      <c r="AE27" s="1">
        <f>IF(AE29&lt;1,0,AE29*AE31*$AH31+AE29*AE32*$AH32+AE29*AE33*$AH33+AE29*AE34*$AH34)</f>
        <v>0</v>
      </c>
      <c r="AF27" s="1">
        <f>IF(AF29&lt;1,0,AF29*AF31*$AH31+AF29*AF32*$AH32+AF29*AF33*$AH33+AF29*AF34*$AH34)</f>
        <v>0</v>
      </c>
      <c r="AG27" s="1">
        <f>ROUNDDOWN(IF(AG29&lt;0.98,0,AG29*AG31*$AH31+AG29*AG32*$AH32+AG29*AG33*$AH33+AG29*AG34*$AH34),-1)</f>
        <v>0</v>
      </c>
      <c r="AH27" s="4" t="e">
        <f>SUM(AD27:AG27)</f>
        <v>#VALUE!</v>
      </c>
      <c r="AL27" s="17" t="s">
        <v>30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33">
        <f>IF(AX$3=0,0,AX25+28)</f>
        <v>0</v>
      </c>
      <c r="AY27" s="33">
        <f>IF(AY$3=0,0,AY25+28)</f>
        <v>0</v>
      </c>
    </row>
    <row r="28" spans="3:51" ht="12.75">
      <c r="C28" s="17">
        <f>IF(D27="……………………….","",IF(D27&gt;$AB35,"max",""))</f>
        <v>0</v>
      </c>
      <c r="D28" s="51">
        <f>IF(D27="……………………….","jj/mm/aa",IF(D27&gt;$AB35,$AB35-1,"jj/mm/aa"))</f>
        <v>0</v>
      </c>
      <c r="E28" s="17">
        <f>IF(F27="……………………….","",IF(F27&gt;D27+366,"max",""))</f>
        <v>0</v>
      </c>
      <c r="F28" s="51">
        <f>IF(F27="……………………….","jj/mm/aa",IF(F27&gt;D27+366,D27+366,"jj/mm/aa"))</f>
        <v>0</v>
      </c>
      <c r="H28" s="52"/>
      <c r="P28" s="24" t="e">
        <f t="shared" si="4"/>
        <v>#VALUE!</v>
      </c>
      <c r="Q28" s="25" t="e">
        <f t="shared" si="5"/>
        <v>#VALUE!</v>
      </c>
      <c r="R28" s="26"/>
      <c r="S28" s="3">
        <f t="shared" si="13"/>
        <v>0</v>
      </c>
      <c r="T28" s="26"/>
      <c r="U28" s="26">
        <f t="shared" si="6"/>
        <v>0</v>
      </c>
      <c r="V28" s="26">
        <f t="shared" si="7"/>
        <v>0</v>
      </c>
      <c r="W28" s="26">
        <f t="shared" si="8"/>
        <v>0</v>
      </c>
      <c r="X28" s="26"/>
      <c r="Y28" s="26">
        <f t="shared" si="3"/>
        <v>0</v>
      </c>
      <c r="AB28" s="50"/>
      <c r="AH28" s="4"/>
      <c r="AL28" s="17" t="s">
        <v>22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35">
        <f>IF(AY$3=0,0,$J$53-AY4-AY6-AY8-AY10-AY12-AY14-AY16-AY18-AY20-AY22-AY24-AY26)</f>
        <v>0</v>
      </c>
    </row>
    <row r="29" spans="4:51" ht="14.25">
      <c r="D29" s="42" t="s">
        <v>61</v>
      </c>
      <c r="E29" s="53">
        <v>2</v>
      </c>
      <c r="F29" s="49" t="s">
        <v>62</v>
      </c>
      <c r="I29" s="17"/>
      <c r="J29" s="18">
        <f>IF(E29=1,"BZ$",IF(E29=2,"US$",IF(E29=3,"€","£")))</f>
        <v>0</v>
      </c>
      <c r="M29" s="54">
        <f>VLOOKUP(E29,AB20:AD23,3)</f>
        <v>0.5</v>
      </c>
      <c r="P29" s="24" t="e">
        <f t="shared" si="4"/>
        <v>#VALUE!</v>
      </c>
      <c r="Q29" s="25" t="e">
        <f t="shared" si="5"/>
        <v>#VALUE!</v>
      </c>
      <c r="R29" s="26"/>
      <c r="S29" s="3">
        <f t="shared" si="13"/>
        <v>0</v>
      </c>
      <c r="T29" s="26"/>
      <c r="U29" s="26">
        <f t="shared" si="6"/>
        <v>0</v>
      </c>
      <c r="V29" s="26">
        <f t="shared" si="7"/>
        <v>0</v>
      </c>
      <c r="W29" s="26">
        <f t="shared" si="8"/>
        <v>0</v>
      </c>
      <c r="X29" s="26"/>
      <c r="Y29" s="26">
        <f t="shared" si="3"/>
        <v>0</v>
      </c>
      <c r="AB29" s="1">
        <f>IF(K27="………………….",1,K27)</f>
        <v>1</v>
      </c>
      <c r="AC29" s="1">
        <f>IF(OR(D27="……………………….",F27="………………………."),0,F27-D27)</f>
        <v>0</v>
      </c>
      <c r="AD29" s="30">
        <f>IF(AC29&lt;7,AC29,0)</f>
        <v>0</v>
      </c>
      <c r="AE29" s="30">
        <f>IF(AC29&lt;28,AC29/7,0)</f>
        <v>0</v>
      </c>
      <c r="AF29" s="30">
        <f>IF(AC29&lt;90,AC29/28,0)</f>
        <v>0</v>
      </c>
      <c r="AG29" s="30">
        <f>IF(AC29&gt;89,ROUNDUP(AC29/91.25,2),0)</f>
        <v>0</v>
      </c>
      <c r="AI29" s="8"/>
      <c r="AJ29" s="8"/>
      <c r="AL29" s="17" t="s">
        <v>30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55">
        <f>IF(AY$3=0,0,AY27+30)</f>
        <v>0</v>
      </c>
    </row>
    <row r="30" spans="16:51" ht="12.75">
      <c r="P30" s="24" t="e">
        <f t="shared" si="4"/>
        <v>#VALUE!</v>
      </c>
      <c r="Q30" s="25" t="e">
        <f t="shared" si="5"/>
        <v>#VALUE!</v>
      </c>
      <c r="R30" s="26"/>
      <c r="S30" s="3">
        <f t="shared" si="13"/>
        <v>0</v>
      </c>
      <c r="T30" s="26"/>
      <c r="U30" s="26">
        <f t="shared" si="6"/>
        <v>0</v>
      </c>
      <c r="V30" s="26">
        <f t="shared" si="7"/>
        <v>0</v>
      </c>
      <c r="W30" s="26">
        <f t="shared" si="8"/>
        <v>0</v>
      </c>
      <c r="X30" s="26"/>
      <c r="Y30" s="26">
        <f t="shared" si="3"/>
        <v>0</v>
      </c>
      <c r="AB30" s="30"/>
      <c r="AC30" s="30"/>
      <c r="AD30" s="56" t="s">
        <v>63</v>
      </c>
      <c r="AE30" s="56" t="s">
        <v>16</v>
      </c>
      <c r="AF30" s="56" t="s">
        <v>64</v>
      </c>
      <c r="AG30" s="56" t="s">
        <v>65</v>
      </c>
      <c r="AI30" s="4" t="s">
        <v>66</v>
      </c>
      <c r="AJ30" s="4" t="s">
        <v>67</v>
      </c>
      <c r="AL30" s="17" t="s">
        <v>10</v>
      </c>
      <c r="AM30" s="57" t="e">
        <f>+AM4+AM6+AM8+AM10+AM12+AM14+AM16+AM18+AM20+AM22+AM24+AM26+AM28</f>
        <v>#DIV/0!</v>
      </c>
      <c r="AN30" s="57">
        <f>+AN4+AN6+AN8+AN10+AN12+AN14+AN16+AN18+AN20+AN22+AN24+AN26+AN28</f>
        <v>0</v>
      </c>
      <c r="AO30" s="57">
        <f>+AO4+AO6+AO8+AO10+AO12+AO14+AO16+AO18+AO20+AO22+AO24+AO26+AO28</f>
        <v>0</v>
      </c>
      <c r="AP30" s="57">
        <f>+AP4+AP6+AP8+AP10+AP12+AP14+AP16+AP18+AP20+AP22+AP24+AP26+AP28</f>
        <v>0</v>
      </c>
      <c r="AQ30" s="57">
        <f>+AQ4+AQ6+AQ8+AQ10+AQ12+AQ14+AQ16+AQ18+AQ20+AQ22+AQ24+AQ26+AQ28</f>
        <v>0</v>
      </c>
      <c r="AR30" s="57">
        <f>+AR4+AR6+AR8+AR10+AR12+AR14+AR16+AR18+AR20+AR22+AR24+AR26+AR28</f>
        <v>0</v>
      </c>
      <c r="AS30" s="57">
        <f>+AS4+AS6+AS8+AS10+AS12+AS14+AS16+AS18+AS20+AS22+AS24+AS26+AS28</f>
        <v>0</v>
      </c>
      <c r="AT30" s="57">
        <f>+AT4+AT6+AT8+AT10+AT12+AT14+AT16+AT18+AT20+AT22+AT24+AT26+AT28</f>
        <v>0</v>
      </c>
      <c r="AU30" s="57">
        <f>+AU4+AU6+AU8+AU10+AU12+AU14+AU16+AU18+AU20+AU22+AU24+AU26+AU28</f>
        <v>0</v>
      </c>
      <c r="AV30" s="57">
        <f>+AV4+AV6+AV8+AV10+AV12+AV14+AV16+AV18+AV20+AV22+AV24+AV26+AV28</f>
        <v>0</v>
      </c>
      <c r="AW30" s="57">
        <f>+AW4+AW6+AW8+AW10+AW12+AW14+AW16+AW18+AW20+AW22+AW24+AW26+AW28</f>
        <v>0</v>
      </c>
      <c r="AX30" s="57">
        <f>+AX4+AX6+AX8+AX10+AX12+AX14+AX16+AX18+AX20+AX22+AX24+AX26+AX28</f>
        <v>0</v>
      </c>
      <c r="AY30" s="57">
        <f>+AY4+AY6+AY8+AY10+AY12+AY14+AY16+AY18+AY20+AY22+AY24+AY26+AY28</f>
        <v>0</v>
      </c>
    </row>
    <row r="31" spans="2:51" ht="12.75">
      <c r="B31" s="49"/>
      <c r="D31" s="42" t="s">
        <v>68</v>
      </c>
      <c r="E31" s="3" t="e">
        <f>MIN(E32,10800/G31*M29)*1.0612</f>
        <v>#DIV/0!</v>
      </c>
      <c r="F31" s="58" t="s">
        <v>54</v>
      </c>
      <c r="G31" s="17">
        <f>IF(AC29*AB29=0,0,AC29*AB29/K27)</f>
        <v>0</v>
      </c>
      <c r="H31" s="49" t="s">
        <v>69</v>
      </c>
      <c r="I31" s="58" t="s">
        <v>70</v>
      </c>
      <c r="J31" s="59" t="e">
        <f>IF(E31="","",E31*G31)</f>
        <v>#DIV/0!</v>
      </c>
      <c r="K31" s="1" t="s">
        <v>71</v>
      </c>
      <c r="L31" s="4">
        <f>IF(G31&gt;28,+E31*365/12,"")</f>
        <v>0</v>
      </c>
      <c r="M31" s="1">
        <f>IF(G31&gt;28,"par mois","")</f>
        <v>0</v>
      </c>
      <c r="N31" s="60" t="e">
        <f aca="true" t="shared" si="14" ref="N31:N32">IF(MIN(AC37:AG37)&lt;0,MIN(AC37:AG37),1)</f>
        <v>#VALUE!</v>
      </c>
      <c r="O31" s="1" t="s">
        <v>72</v>
      </c>
      <c r="P31" s="24" t="e">
        <f t="shared" si="4"/>
        <v>#VALUE!</v>
      </c>
      <c r="Q31" s="25" t="e">
        <f t="shared" si="5"/>
        <v>#VALUE!</v>
      </c>
      <c r="R31" s="26"/>
      <c r="S31" s="3">
        <f aca="true" t="shared" si="15" ref="S31:S35">IF(T31&gt;0,SUM(C$60:I$60)/M$29-SUM(R$5:R31)+SUM(W$5:W31)+X31,0)</f>
        <v>0</v>
      </c>
      <c r="T31" s="26"/>
      <c r="U31" s="26">
        <f t="shared" si="6"/>
        <v>0</v>
      </c>
      <c r="V31" s="26">
        <f t="shared" si="7"/>
        <v>0</v>
      </c>
      <c r="W31" s="26">
        <f t="shared" si="8"/>
        <v>0</v>
      </c>
      <c r="X31" s="26"/>
      <c r="Y31" s="26">
        <f t="shared" si="3"/>
        <v>0</v>
      </c>
      <c r="AB31" s="61">
        <v>44501</v>
      </c>
      <c r="AC31" s="62">
        <f aca="true" t="shared" si="16" ref="AC31:AC35">+AB31</f>
        <v>44501</v>
      </c>
      <c r="AD31" s="30">
        <v>100</v>
      </c>
      <c r="AE31" s="30">
        <v>560</v>
      </c>
      <c r="AF31" s="30">
        <v>1440</v>
      </c>
      <c r="AG31" s="30">
        <v>2900</v>
      </c>
      <c r="AH31" s="3" t="e">
        <f aca="true" t="shared" si="17" ref="AH31:AH35">IF(AI31+AJ31=2,1,((AB32-D$27)*AI31+(F$27-AB31)*AJ31+(AB32-AB31)*AK31)/AC$29)</f>
        <v>#VALUE!</v>
      </c>
      <c r="AI31" s="4">
        <f aca="true" t="shared" si="18" ref="AI31:AI35">IF(D$27&gt;AC32-1,0,1-SUM(AI$30:AI30))</f>
        <v>0</v>
      </c>
      <c r="AJ31" s="4">
        <f aca="true" t="shared" si="19" ref="AJ31:AJ33">IF(F$27&gt;AC32-1,0,1-SUM(AJ$30:AJ30))</f>
        <v>0</v>
      </c>
      <c r="AK31" s="4">
        <f aca="true" t="shared" si="20" ref="AK31:AK34">IF(AI31+AJ31&gt;0,0,IF(SUM(AJ$31:AJ31)=1,0,IF(SUM(AI31:AJ$35)=2,0,1)))</f>
        <v>1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2:51" ht="12.75">
      <c r="B32" s="49"/>
      <c r="D32" s="17"/>
      <c r="E32" s="63" t="e">
        <f>IF(G31="",0,AH27/AC29*M29)*K27+IF(G31&gt;0,L74/K27/G31,0)*K27+IF(H25="",0,IF(AC29&lt;28,20,IF(AC29&lt;182,10,5))*M29*K27)</f>
        <v>#VALUE!</v>
      </c>
      <c r="F32" s="58"/>
      <c r="H32" s="64" t="e">
        <f>IF(N32&lt;0,"ristourne","")</f>
        <v>#VALUE!</v>
      </c>
      <c r="I32" s="65" t="e">
        <f>IF(J32="","","=")</f>
        <v>#VALUE!</v>
      </c>
      <c r="J32" s="66" t="e">
        <f>IF(N32&lt;0,J31*N32,"")</f>
        <v>#VALUE!</v>
      </c>
      <c r="K32" s="65" t="e">
        <f>IF(N32&lt;0,"=","")</f>
        <v>#VALUE!</v>
      </c>
      <c r="L32" s="67" t="e">
        <f>IF(N32&lt;0,N32,"")</f>
        <v>#VALUE!</v>
      </c>
      <c r="N32" s="60" t="e">
        <f t="shared" si="14"/>
        <v>#VALUE!</v>
      </c>
      <c r="O32" s="68">
        <f>+N54</f>
        <v>0</v>
      </c>
      <c r="P32" s="24" t="e">
        <f t="shared" si="4"/>
        <v>#VALUE!</v>
      </c>
      <c r="Q32" s="25" t="e">
        <f t="shared" si="5"/>
        <v>#VALUE!</v>
      </c>
      <c r="R32" s="26"/>
      <c r="S32" s="3">
        <f t="shared" si="15"/>
        <v>0</v>
      </c>
      <c r="T32" s="26"/>
      <c r="U32" s="26">
        <f t="shared" si="6"/>
        <v>0</v>
      </c>
      <c r="V32" s="26">
        <f t="shared" si="7"/>
        <v>0</v>
      </c>
      <c r="W32" s="26">
        <f t="shared" si="8"/>
        <v>0</v>
      </c>
      <c r="X32" s="26"/>
      <c r="Y32" s="26">
        <f t="shared" si="3"/>
        <v>0</v>
      </c>
      <c r="AB32" s="61">
        <v>44682</v>
      </c>
      <c r="AC32" s="62">
        <f t="shared" si="16"/>
        <v>44682</v>
      </c>
      <c r="AD32" s="30">
        <v>60</v>
      </c>
      <c r="AE32" s="30">
        <v>340</v>
      </c>
      <c r="AF32" s="30">
        <v>850</v>
      </c>
      <c r="AG32" s="30">
        <v>1700</v>
      </c>
      <c r="AH32" s="3" t="e">
        <f t="shared" si="17"/>
        <v>#VALUE!</v>
      </c>
      <c r="AI32" s="4">
        <f t="shared" si="18"/>
        <v>0</v>
      </c>
      <c r="AJ32" s="4">
        <f t="shared" si="19"/>
        <v>0</v>
      </c>
      <c r="AK32" s="4">
        <f t="shared" si="20"/>
        <v>1</v>
      </c>
      <c r="AL32" s="17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40" ht="12.75">
      <c r="B33" s="49"/>
      <c r="D33" s="69">
        <f>IF(G31&gt;7,"nettoyage a fond","nettoyage")</f>
        <v>0</v>
      </c>
      <c r="E33" s="3">
        <f>(50-IF(G31&lt;7,30,0))*M29</f>
        <v>10</v>
      </c>
      <c r="F33" s="58" t="s">
        <v>54</v>
      </c>
      <c r="G33" s="10" t="e">
        <f>IF(K33="",0,ROUND(AC$29/K33,0)*AB$29)</f>
        <v>#DIV/0!</v>
      </c>
      <c r="H33" s="70" t="s">
        <v>73</v>
      </c>
      <c r="I33" s="58" t="s">
        <v>70</v>
      </c>
      <c r="J33" s="71" t="e">
        <f>IF(G33="…………..",0,E33*G33)</f>
        <v>#DIV/0!</v>
      </c>
      <c r="K33" s="47">
        <f>IF(G$31&gt;27,28,G$31)</f>
        <v>0</v>
      </c>
      <c r="L33" s="1" t="s">
        <v>74</v>
      </c>
      <c r="P33" s="24" t="e">
        <f t="shared" si="4"/>
        <v>#VALUE!</v>
      </c>
      <c r="Q33" s="25" t="e">
        <f t="shared" si="5"/>
        <v>#VALUE!</v>
      </c>
      <c r="R33" s="26"/>
      <c r="S33" s="3">
        <f t="shared" si="15"/>
        <v>0</v>
      </c>
      <c r="T33" s="26"/>
      <c r="U33" s="26">
        <f t="shared" si="6"/>
        <v>0</v>
      </c>
      <c r="V33" s="26">
        <f t="shared" si="7"/>
        <v>0</v>
      </c>
      <c r="W33" s="26">
        <f t="shared" si="8"/>
        <v>0</v>
      </c>
      <c r="X33" s="26"/>
      <c r="Y33" s="26">
        <f t="shared" si="3"/>
        <v>0</v>
      </c>
      <c r="AB33" s="61">
        <v>44866</v>
      </c>
      <c r="AC33" s="62">
        <f t="shared" si="16"/>
        <v>44866</v>
      </c>
      <c r="AD33" s="30">
        <v>100</v>
      </c>
      <c r="AE33" s="30">
        <v>560</v>
      </c>
      <c r="AF33" s="30">
        <v>1440</v>
      </c>
      <c r="AG33" s="30">
        <v>2900</v>
      </c>
      <c r="AH33" s="3" t="e">
        <f t="shared" si="17"/>
        <v>#VALUE!</v>
      </c>
      <c r="AI33" s="4">
        <f t="shared" si="18"/>
        <v>0</v>
      </c>
      <c r="AJ33" s="4">
        <f t="shared" si="19"/>
        <v>0</v>
      </c>
      <c r="AK33" s="4">
        <f t="shared" si="20"/>
        <v>1</v>
      </c>
      <c r="AL33" s="17"/>
      <c r="AM33" s="3" t="e">
        <f>($J53/M29+W59+X59)/$G31/1.09/AB29</f>
        <v>#DIV/0!</v>
      </c>
      <c r="AN33" s="1" t="s">
        <v>75</v>
      </c>
    </row>
    <row r="34" spans="2:50" s="1" customFormat="1" ht="12.75">
      <c r="B34" s="49"/>
      <c r="D34" s="72"/>
      <c r="E34" s="3"/>
      <c r="F34" s="58"/>
      <c r="H34" s="49"/>
      <c r="I34" s="58"/>
      <c r="J34" s="2"/>
      <c r="P34" s="24" t="e">
        <f t="shared" si="4"/>
        <v>#VALUE!</v>
      </c>
      <c r="Q34" s="25" t="e">
        <f t="shared" si="5"/>
        <v>#VALUE!</v>
      </c>
      <c r="R34" s="26"/>
      <c r="S34" s="3">
        <f t="shared" si="15"/>
        <v>0</v>
      </c>
      <c r="T34" s="26"/>
      <c r="U34" s="26">
        <f t="shared" si="6"/>
        <v>0</v>
      </c>
      <c r="V34" s="26">
        <f t="shared" si="7"/>
        <v>0</v>
      </c>
      <c r="W34" s="26">
        <f t="shared" si="8"/>
        <v>0</v>
      </c>
      <c r="X34" s="26"/>
      <c r="Y34" s="26">
        <f t="shared" si="3"/>
        <v>0</v>
      </c>
      <c r="AB34" s="61">
        <v>45047</v>
      </c>
      <c r="AC34" s="62">
        <f t="shared" si="16"/>
        <v>45047</v>
      </c>
      <c r="AD34" s="30">
        <v>60</v>
      </c>
      <c r="AE34" s="30">
        <v>340</v>
      </c>
      <c r="AF34" s="30">
        <v>850</v>
      </c>
      <c r="AG34" s="30">
        <v>1700</v>
      </c>
      <c r="AH34" s="3" t="e">
        <f t="shared" si="17"/>
        <v>#VALUE!</v>
      </c>
      <c r="AI34" s="4">
        <f t="shared" si="18"/>
        <v>0</v>
      </c>
      <c r="AJ34" s="4">
        <f>1-SUM(AJ$30:AJ33)</f>
        <v>1</v>
      </c>
      <c r="AK34" s="4">
        <f t="shared" si="20"/>
        <v>0</v>
      </c>
      <c r="AM34" s="73">
        <f>AB31+IF($AD$31&gt;$AD$32,31,30)</f>
        <v>44532</v>
      </c>
      <c r="AN34" s="73">
        <f>AM34+31</f>
        <v>44563</v>
      </c>
      <c r="AO34" s="73">
        <f>AN34+IF($AD$31&gt;$AD$32,28,30)</f>
        <v>44591</v>
      </c>
      <c r="AP34" s="73">
        <f>AO34+31</f>
        <v>44622</v>
      </c>
      <c r="AQ34" s="73">
        <f>AP34+IF($AD$31&gt;$AD$32,30,31)</f>
        <v>44652</v>
      </c>
      <c r="AR34" s="73">
        <f>AQ34+IF($AD$31&gt;$AD$32,31,28)</f>
        <v>44683</v>
      </c>
      <c r="AS34" s="73">
        <f>AR34+IF($AD$31&gt;$AD$32,30,31)</f>
        <v>44713</v>
      </c>
      <c r="AT34" s="73">
        <f>AS34+IF($AD$31&gt;$AD$32,31,30)</f>
        <v>44744</v>
      </c>
      <c r="AU34" s="73">
        <f>AT34+31</f>
        <v>44775</v>
      </c>
      <c r="AV34" s="73">
        <f>AU34+30</f>
        <v>44805</v>
      </c>
      <c r="AW34" s="73">
        <f>AV34+31</f>
        <v>44836</v>
      </c>
      <c r="AX34" s="73">
        <f>AW34+IF($AD$31&gt;$AD$32,30,31)</f>
        <v>44866</v>
      </c>
    </row>
    <row r="35" spans="2:51" ht="12.75">
      <c r="B35" s="49"/>
      <c r="D35" s="42" t="s">
        <v>76</v>
      </c>
      <c r="E35" s="3">
        <f>20*M29</f>
        <v>10</v>
      </c>
      <c r="F35" s="58" t="s">
        <v>54</v>
      </c>
      <c r="G35" s="10" t="e">
        <f>IF(K35="",0,ROUND(AC$29/K35,0)*AB$29)*(1+IF(C23="………………………………………………………………",0,1))</f>
        <v>#DIV/0!</v>
      </c>
      <c r="H35" s="70" t="s">
        <v>73</v>
      </c>
      <c r="I35" s="58" t="s">
        <v>70</v>
      </c>
      <c r="J35" s="59" t="e">
        <f>IF(G35="","",E35*G35)</f>
        <v>#DIV/0!</v>
      </c>
      <c r="K35" s="47">
        <f>IF(G$31&gt;6,7,G$31)</f>
        <v>0</v>
      </c>
      <c r="L35" s="1" t="s">
        <v>77</v>
      </c>
      <c r="P35" s="24" t="e">
        <f t="shared" si="4"/>
        <v>#VALUE!</v>
      </c>
      <c r="Q35" s="25" t="e">
        <f t="shared" si="5"/>
        <v>#VALUE!</v>
      </c>
      <c r="R35" s="26"/>
      <c r="S35" s="3">
        <f t="shared" si="15"/>
        <v>0</v>
      </c>
      <c r="T35" s="26"/>
      <c r="U35" s="26">
        <f t="shared" si="6"/>
        <v>0</v>
      </c>
      <c r="V35" s="26">
        <f t="shared" si="7"/>
        <v>0</v>
      </c>
      <c r="W35" s="26">
        <f t="shared" si="8"/>
        <v>0</v>
      </c>
      <c r="X35" s="26"/>
      <c r="Y35" s="26">
        <f t="shared" si="3"/>
        <v>0</v>
      </c>
      <c r="AB35" s="61">
        <v>45231</v>
      </c>
      <c r="AC35" s="62">
        <f t="shared" si="16"/>
        <v>45231</v>
      </c>
      <c r="AD35" s="30">
        <v>100</v>
      </c>
      <c r="AE35" s="30">
        <v>560</v>
      </c>
      <c r="AF35" s="30">
        <v>1440</v>
      </c>
      <c r="AG35" s="30">
        <v>2900</v>
      </c>
      <c r="AH35" s="3" t="e">
        <f t="shared" si="17"/>
        <v>#VALUE!</v>
      </c>
      <c r="AI35" s="4">
        <f t="shared" si="18"/>
        <v>0</v>
      </c>
      <c r="AJ35" s="4">
        <f>IF(F$27&gt;AC36-1,0,1-SUM(AJ$30:AJ34))</f>
        <v>0</v>
      </c>
      <c r="AK35" s="49" t="s">
        <v>78</v>
      </c>
      <c r="AL35" s="17"/>
      <c r="AM35" s="74">
        <f>IF($D$27&lt;AM34,AM34-$D$27,0)+IF($F$27&lt;AM34,$F$27-AM34,0)</f>
        <v>0</v>
      </c>
      <c r="AN35" s="74">
        <f>IF($D$27&lt;AN34,AN34-$D$27-SUM($AM35:AM35),0)+IF($F$27&lt;AN34,$F$27-AN34,0)</f>
        <v>0</v>
      </c>
      <c r="AO35" s="74">
        <f>IF($D$27&lt;AO34,AO34-$D$27-SUM($AM35:AN35),0)+IF($F$27&lt;AO34,$F$27-AO34,0)</f>
        <v>0</v>
      </c>
      <c r="AP35" s="74">
        <f>IF($D$27&lt;AP34,AP34-$D$27-SUM($AM35:AO35),0)+IF($F$27&lt;AP34,$F$27-AP34,0)</f>
        <v>0</v>
      </c>
      <c r="AQ35" s="74">
        <f>IF($D$27&lt;AQ34,AQ34-$D$27-SUM($AM35:AP35),0)+IF($F$27&lt;AQ34,$F$27-AQ34,0)</f>
        <v>0</v>
      </c>
      <c r="AR35" s="74">
        <f>IF($D$27&lt;AR34,AR34-$D$27-SUM($AM35:AQ35),0)+IF($F$27&lt;AR34,$F$27-AR34,0)</f>
        <v>0</v>
      </c>
      <c r="AS35" s="74">
        <f>IF($D$27&lt;AS34,AS34-$D$27-SUM($AM35:AR35),0)+IF($F$27&lt;AS34,$F$27-AS34,0)</f>
        <v>0</v>
      </c>
      <c r="AT35" s="74">
        <f>IF($D$27&lt;AT34,AT34-$D$27-SUM($AM35:AS35),0)+IF($F$27&lt;AT34,$F$27-AT34,0)</f>
        <v>0</v>
      </c>
      <c r="AU35" s="74">
        <f>IF($D$27&lt;AU34,AU34-$D$27-SUM($AM35:AT35),0)+IF($F$27&lt;AU34,$F$27-AU34,0)</f>
        <v>0</v>
      </c>
      <c r="AV35" s="74">
        <f>IF($D$27&lt;AV34,AV34-$D$27-SUM($AM35:AU35),0)+IF($F$27&lt;AV34,$F$27-AV34,0)</f>
        <v>0</v>
      </c>
      <c r="AW35" s="74">
        <f>IF($D$27&lt;AW34,AW34-$D$27-SUM($AM35:AV35),0)+IF($F$27&lt;AW34,$F$27-AW34,0)</f>
        <v>0</v>
      </c>
      <c r="AX35" s="74">
        <f>IF($D$27&lt;AX34,AX34-$D$27-SUM($AM35:AW35),0)+IF($F$27&lt;AX34,$F$27-AX34,0)</f>
        <v>0</v>
      </c>
      <c r="AY35" s="58">
        <f>IF(AB29&gt;1,"x  "&amp;AB29,"")</f>
        <v>0</v>
      </c>
    </row>
    <row r="36" spans="2:50" ht="12.75">
      <c r="B36" s="49"/>
      <c r="D36" s="7"/>
      <c r="E36" s="3"/>
      <c r="F36" s="58"/>
      <c r="H36" s="7"/>
      <c r="I36" s="7"/>
      <c r="J36" s="7"/>
      <c r="K36" s="1"/>
      <c r="P36" s="24" t="e">
        <f t="shared" si="4"/>
        <v>#VALUE!</v>
      </c>
      <c r="Q36" s="25" t="e">
        <f t="shared" si="5"/>
        <v>#VALUE!</v>
      </c>
      <c r="R36" s="26"/>
      <c r="S36" s="3">
        <f aca="true" t="shared" si="21" ref="S36:S39">IF(T36&gt;0,SUM(C$60:J$60)/M$29-SUM(R$5:R36)+SUM(W$5:W36)+X36,0)</f>
        <v>0</v>
      </c>
      <c r="T36" s="26"/>
      <c r="U36" s="26">
        <f t="shared" si="6"/>
        <v>0</v>
      </c>
      <c r="V36" s="26">
        <f t="shared" si="7"/>
        <v>0</v>
      </c>
      <c r="W36" s="26">
        <f t="shared" si="8"/>
        <v>0</v>
      </c>
      <c r="X36" s="26"/>
      <c r="Y36" s="26">
        <f t="shared" si="3"/>
        <v>0</v>
      </c>
      <c r="AB36" s="75"/>
      <c r="AH36" s="1"/>
      <c r="AK36" s="49" t="s">
        <v>79</v>
      </c>
      <c r="AL36" s="49"/>
      <c r="AM36" s="76">
        <f>IF(AM35&gt;0,$AM33*AM35*$AB$29+AL36-AL40,0)</f>
        <v>0</v>
      </c>
      <c r="AN36" s="76">
        <f>IF(AN35&gt;0,$AM33*AN35*$AB$29+AM36-AM40,0)</f>
        <v>0</v>
      </c>
      <c r="AO36" s="76">
        <f>IF(AO35&gt;0,$AM33*AO35*$AB$29+AN36-AN40,0)</f>
        <v>0</v>
      </c>
      <c r="AP36" s="76">
        <f>IF(AP35&gt;0,$AM33*AP35*$AB$29+AO36-AO40,0)</f>
        <v>0</v>
      </c>
      <c r="AQ36" s="76">
        <f>IF(AQ35&gt;0,$AM33*AQ35*$AB$29+AP36-AP40,0)</f>
        <v>0</v>
      </c>
      <c r="AR36" s="76">
        <f>IF(AR35&gt;0,$AM33*AR35*$AB$29+AQ36-AQ40,0)</f>
        <v>0</v>
      </c>
      <c r="AS36" s="76">
        <f>IF(AS35&gt;0,$AM33*AS35*$AB$29+AR36-AR40,0)</f>
        <v>0</v>
      </c>
      <c r="AT36" s="76">
        <f>IF(AT35&gt;0,$AM33*AT35*$AB$29+AS36-AS40,0)</f>
        <v>0</v>
      </c>
      <c r="AU36" s="76">
        <f>IF(AU35&gt;0,$AM33*AU35*$AB$29+AT36-AT40,0)</f>
        <v>0</v>
      </c>
      <c r="AV36" s="76">
        <f>IF(AV35&gt;0,$AM33*AV35*$AB$29+AU36-AU40,0)</f>
        <v>0</v>
      </c>
      <c r="AW36" s="76">
        <f>IF(AW35&gt;0,$AM33*AW35*$AB$29+AV36-AV40,0)</f>
        <v>0</v>
      </c>
      <c r="AX36" s="76">
        <f>IF(AX35&gt;0,$AM33*AX35*$AB$29+AW36-AW40,0)</f>
        <v>0</v>
      </c>
    </row>
    <row r="37" spans="2:50" ht="14.25">
      <c r="B37" s="49"/>
      <c r="D37" s="72">
        <f>IF(AC29&lt;28,"air conditionné","air conditionné/4 semaines")</f>
        <v>0</v>
      </c>
      <c r="E37" s="3">
        <f>IF(AC29&lt;28,IF(AC29&gt;1,30,20),600)*M29*K27</f>
        <v>10</v>
      </c>
      <c r="F37" s="58" t="s">
        <v>54</v>
      </c>
      <c r="G37" s="77">
        <f>IF(K37="","",IF(AC$29&lt;28,G31,G$31/28))</f>
        <v>0</v>
      </c>
      <c r="H37" s="49">
        <f>IF(AC27&lt;28,"nuit(s)","avance(s)")</f>
        <v>0</v>
      </c>
      <c r="I37" s="58" t="s">
        <v>70</v>
      </c>
      <c r="J37" s="59">
        <f>IF(G37="",0,E37*ROUND(G37,1))</f>
        <v>0</v>
      </c>
      <c r="K37" s="47" t="s">
        <v>54</v>
      </c>
      <c r="L37" s="1">
        <f>IF(K37="","x si désiré","vide si non désiré")&amp;IF(AC29&gt;27," (3)","")</f>
        <v>0</v>
      </c>
      <c r="P37" s="24" t="e">
        <f t="shared" si="4"/>
        <v>#VALUE!</v>
      </c>
      <c r="Q37" s="25" t="e">
        <f t="shared" si="5"/>
        <v>#VALUE!</v>
      </c>
      <c r="R37" s="26"/>
      <c r="S37" s="3">
        <f t="shared" si="21"/>
        <v>0</v>
      </c>
      <c r="T37" s="26"/>
      <c r="U37" s="26">
        <f t="shared" si="6"/>
        <v>0</v>
      </c>
      <c r="V37" s="26">
        <f t="shared" si="7"/>
        <v>0</v>
      </c>
      <c r="W37" s="26">
        <f t="shared" si="8"/>
        <v>0</v>
      </c>
      <c r="X37" s="26"/>
      <c r="Y37" s="26">
        <f t="shared" si="3"/>
        <v>0</v>
      </c>
      <c r="AB37" s="75"/>
      <c r="AD37" s="4" t="e">
        <f>AD31*$AH31+AD32*$AH32+AD33*$AH33+AD34*$AH34</f>
        <v>#VALUE!</v>
      </c>
      <c r="AE37" s="4" t="e">
        <f>AE31*$AH31+AE32*$AH32+AE33*$AH33+AE34*$AH34</f>
        <v>#VALUE!</v>
      </c>
      <c r="AF37" s="4" t="e">
        <f>AF31*$AH31+AF32*$AH32+AF33*$AH33+AF34*$AH34</f>
        <v>#VALUE!</v>
      </c>
      <c r="AG37" s="4" t="e">
        <f>AG31*$AH31+AG32*$AH32+AG33*$AH33+AG34*$AH34</f>
        <v>#VALUE!</v>
      </c>
      <c r="AH37" s="1"/>
      <c r="AK37" s="49" t="s">
        <v>80</v>
      </c>
      <c r="AL37" s="49"/>
      <c r="AM37" s="78">
        <f>AM36*0.09</f>
        <v>0</v>
      </c>
      <c r="AN37" s="78">
        <f>AN36*0.09</f>
        <v>0</v>
      </c>
      <c r="AO37" s="78">
        <f>AO36*0.09</f>
        <v>0</v>
      </c>
      <c r="AP37" s="78">
        <f>AP36*0.09</f>
        <v>0</v>
      </c>
      <c r="AQ37" s="78">
        <f>AQ36*0.09</f>
        <v>0</v>
      </c>
      <c r="AR37" s="78">
        <f>AR36*0.09</f>
        <v>0</v>
      </c>
      <c r="AS37" s="78">
        <f>AS36*0.09</f>
        <v>0</v>
      </c>
      <c r="AT37" s="78">
        <f>AT36*0.09</f>
        <v>0</v>
      </c>
      <c r="AU37" s="78">
        <f>AU36*0.09</f>
        <v>0</v>
      </c>
      <c r="AV37" s="78">
        <f>AV36*0.09</f>
        <v>0</v>
      </c>
      <c r="AW37" s="78">
        <f>AW36*0.09</f>
        <v>0</v>
      </c>
      <c r="AX37" s="78">
        <f>AX36*0.09</f>
        <v>0</v>
      </c>
    </row>
    <row r="38" spans="2:51" ht="12.75">
      <c r="B38" s="49"/>
      <c r="C38" s="72"/>
      <c r="E38" s="3"/>
      <c r="F38" s="58"/>
      <c r="H38" s="49"/>
      <c r="I38" s="58"/>
      <c r="J38" s="2"/>
      <c r="K38" s="1"/>
      <c r="P38" s="24" t="e">
        <f t="shared" si="4"/>
        <v>#VALUE!</v>
      </c>
      <c r="Q38" s="25" t="e">
        <f t="shared" si="5"/>
        <v>#VALUE!</v>
      </c>
      <c r="R38" s="26"/>
      <c r="S38" s="3">
        <f t="shared" si="21"/>
        <v>0</v>
      </c>
      <c r="T38" s="26"/>
      <c r="U38" s="26">
        <f t="shared" si="6"/>
        <v>0</v>
      </c>
      <c r="V38" s="26">
        <f t="shared" si="7"/>
        <v>0</v>
      </c>
      <c r="W38" s="26">
        <f t="shared" si="8"/>
        <v>0</v>
      </c>
      <c r="X38" s="26"/>
      <c r="Y38" s="26">
        <f t="shared" si="3"/>
        <v>0</v>
      </c>
      <c r="AB38" s="4"/>
      <c r="AC38" s="3">
        <f>IF(AND(C23="………………………………………………………………",K33="",K39="",G31&gt;0),(130-SUM(J33:J46)/M29/AC29/AB29)/(SUM(J31:J46)/M29/AC29/AB29),1)</f>
        <v>1</v>
      </c>
      <c r="AD38" s="1" t="e">
        <f>IF(AND(AD29&lt;7,AD29&gt;1,$AH27&gt;AE37),-(J31/M29-AE37-IF(H25="",0,IF(AC29&lt;28,20,IF(AC29&lt;182,10,5))*K27)*G31),0)/(J31/M29)</f>
        <v>#VALUE!</v>
      </c>
      <c r="AE38" s="1" t="e">
        <f>IF(AND(AC29&lt;28,AE29&gt;1,$AH27&gt;AF37),-(J31/M29-AF37-IF(H25="",0,IF(AC29&lt;28,20,IF(AC29&lt;182,10,5))*K27)*G31),0)/(J31/M29)</f>
        <v>#VALUE!</v>
      </c>
      <c r="AF38" s="1" t="e">
        <f>IF(AND(AC29&gt;28,AF29&gt;1,$AH27&gt;AG37),-(J31/M29-AG37-IF(H25="",0,IF(AC29&lt;28,20,IF(AC29&lt;182,10,5))*K27)*G31),0)/(J31/M29)</f>
        <v>#VALUE!</v>
      </c>
      <c r="AK38" s="49" t="s">
        <v>81</v>
      </c>
      <c r="AL38" s="49"/>
      <c r="AM38" s="79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1"/>
      <c r="AY38" s="3"/>
    </row>
    <row r="39" spans="4:51" ht="12.75">
      <c r="D39" s="69" t="s">
        <v>82</v>
      </c>
      <c r="E39" s="3">
        <f>20*M29*K27</f>
        <v>10</v>
      </c>
      <c r="F39" s="58" t="s">
        <v>54</v>
      </c>
      <c r="G39" s="17">
        <f>IF(K39="","",IF(G31&gt;1,G31-1,""))</f>
        <v>0</v>
      </c>
      <c r="H39" s="70" t="s">
        <v>83</v>
      </c>
      <c r="I39" s="58" t="s">
        <v>70</v>
      </c>
      <c r="J39" s="59">
        <f>IF(G39="",0,E39*G39)</f>
        <v>0</v>
      </c>
      <c r="K39" s="47"/>
      <c r="L39" s="1">
        <f>IF(K39="","x si désiré","vide si non-désiré")</f>
        <v>0</v>
      </c>
      <c r="P39" s="24" t="e">
        <f t="shared" si="4"/>
        <v>#VALUE!</v>
      </c>
      <c r="Q39" s="25" t="e">
        <f t="shared" si="5"/>
        <v>#VALUE!</v>
      </c>
      <c r="R39" s="26"/>
      <c r="S39" s="3">
        <f t="shared" si="21"/>
        <v>0</v>
      </c>
      <c r="T39" s="26"/>
      <c r="U39" s="26">
        <f t="shared" si="6"/>
        <v>0</v>
      </c>
      <c r="V39" s="26">
        <f t="shared" si="7"/>
        <v>0</v>
      </c>
      <c r="W39" s="26">
        <f t="shared" si="8"/>
        <v>0</v>
      </c>
      <c r="X39" s="26"/>
      <c r="Y39" s="26">
        <f t="shared" si="3"/>
        <v>0</v>
      </c>
      <c r="AB39" s="4"/>
      <c r="AC39" s="82"/>
      <c r="AK39" s="49" t="s">
        <v>84</v>
      </c>
      <c r="AL39" s="49"/>
      <c r="AM39" s="83">
        <f>IF(AM35&gt;0,AM38/AB29/9*100/AM35,0)</f>
        <v>0</v>
      </c>
      <c r="AN39" s="83">
        <f>IF(AN35&gt;0,AN38/AB29/9*100/AN35/AB29,0)*1</f>
        <v>0</v>
      </c>
      <c r="AO39" s="83">
        <f>IF(AO35&gt;0,AO38/AB29/9*100/AO35,0)*1</f>
        <v>0</v>
      </c>
      <c r="AP39" s="83">
        <f>IF(AP35&gt;0,AP38/AB29/9*100/AP35,0)*1</f>
        <v>0</v>
      </c>
      <c r="AQ39" s="83">
        <f>IF(AQ35&gt;0,AQ38/AB29/9*100/AQ35,0)*1</f>
        <v>0</v>
      </c>
      <c r="AR39" s="83">
        <f>IF(AR35&gt;0,AR38/AB29/9*100/AR35,0)*1</f>
        <v>0</v>
      </c>
      <c r="AS39" s="83">
        <f>IF(AS35&gt;0,AS38/AB29/9*100/AS35,0)*1</f>
        <v>0</v>
      </c>
      <c r="AT39" s="83">
        <f>IF(AT35&gt;0,AT38/AB29/9*100/AT35,0)*1</f>
        <v>0</v>
      </c>
      <c r="AU39" s="83">
        <f>IF(AU35&gt;0,AU38/AB29/9*100/AU35,0)*1</f>
        <v>0</v>
      </c>
      <c r="AV39" s="83">
        <f>IF(AV35&gt;0,AV38/AB29/9*100/AV35,0)*1</f>
        <v>0</v>
      </c>
      <c r="AW39" s="83">
        <f>IF(AW35&gt;0,AW38/AB29/9*100/AW35,0)*1</f>
        <v>0</v>
      </c>
      <c r="AX39" s="83">
        <f>IF(AX35&gt;0,AX38/AB29/9*100/AX35,0)*1</f>
        <v>0</v>
      </c>
      <c r="AY39" s="3"/>
    </row>
    <row r="40" spans="4:51" ht="12.75">
      <c r="D40" s="72"/>
      <c r="E40" s="7"/>
      <c r="H40" s="17"/>
      <c r="I40" s="58"/>
      <c r="J40" s="2"/>
      <c r="K40" s="7"/>
      <c r="P40" s="24" t="e">
        <f t="shared" si="4"/>
        <v>#VALUE!</v>
      </c>
      <c r="Q40" s="25" t="e">
        <f t="shared" si="5"/>
        <v>#VALUE!</v>
      </c>
      <c r="R40" s="26"/>
      <c r="S40" s="3">
        <f aca="true" t="shared" si="22" ref="S40:S43">IF(T40&gt;0,SUM(C$60:K$60)/M$29-SUM(R$5:R40)+SUM(W$5:W40)+X40,0)</f>
        <v>0</v>
      </c>
      <c r="T40" s="26"/>
      <c r="U40" s="26">
        <f t="shared" si="6"/>
        <v>0</v>
      </c>
      <c r="V40" s="26">
        <f t="shared" si="7"/>
        <v>0</v>
      </c>
      <c r="W40" s="26">
        <f t="shared" si="8"/>
        <v>0</v>
      </c>
      <c r="X40" s="26"/>
      <c r="Y40" s="26">
        <f t="shared" si="3"/>
        <v>0</v>
      </c>
      <c r="AB40" s="4"/>
      <c r="AC40" s="82"/>
      <c r="AK40" s="49" t="s">
        <v>85</v>
      </c>
      <c r="AL40" s="49"/>
      <c r="AM40" s="76">
        <f>+AM38/9*100</f>
        <v>0</v>
      </c>
      <c r="AN40" s="76">
        <f>+AN38/9*100</f>
        <v>0</v>
      </c>
      <c r="AO40" s="76">
        <f>+AO38/9*100</f>
        <v>0</v>
      </c>
      <c r="AP40" s="76">
        <f>+AP38/9*100</f>
        <v>0</v>
      </c>
      <c r="AQ40" s="76">
        <f>+AQ38/9*100</f>
        <v>0</v>
      </c>
      <c r="AR40" s="76">
        <f>+AR38/9*100</f>
        <v>0</v>
      </c>
      <c r="AS40" s="76">
        <f>+AS38/9*100</f>
        <v>0</v>
      </c>
      <c r="AT40" s="76">
        <f>+AT38/9*100</f>
        <v>0</v>
      </c>
      <c r="AU40" s="76">
        <f>+AU38/9*100</f>
        <v>0</v>
      </c>
      <c r="AV40" s="76">
        <f>+AV38/9*100</f>
        <v>0</v>
      </c>
      <c r="AW40" s="76">
        <f>+AW38/9*100</f>
        <v>0</v>
      </c>
      <c r="AX40" s="76">
        <f>+AX38/9*100</f>
        <v>0</v>
      </c>
      <c r="AY40" s="84"/>
    </row>
    <row r="41" spans="4:51" ht="12.75">
      <c r="D41" s="69" t="s">
        <v>86</v>
      </c>
      <c r="E41" s="3">
        <f>IF(AC29&lt;28,IF(AC29&lt;7,0,6),3.6)*M29*K27</f>
        <v>0</v>
      </c>
      <c r="F41" s="58" t="s">
        <v>54</v>
      </c>
      <c r="G41" s="17">
        <f>IF(K41="x",G31,0)</f>
        <v>0</v>
      </c>
      <c r="H41" s="70" t="s">
        <v>83</v>
      </c>
      <c r="I41" s="58" t="s">
        <v>70</v>
      </c>
      <c r="J41" s="59">
        <f>IF(G41="","",E41*G41)</f>
        <v>0</v>
      </c>
      <c r="K41" s="85" t="s">
        <v>54</v>
      </c>
      <c r="L41" s="1">
        <f>IF(AC29&lt;7,"",IF(K41="","x si désiré","vide si non désiré"))</f>
        <v>0</v>
      </c>
      <c r="P41" s="24" t="e">
        <f t="shared" si="4"/>
        <v>#VALUE!</v>
      </c>
      <c r="Q41" s="25" t="e">
        <f t="shared" si="5"/>
        <v>#VALUE!</v>
      </c>
      <c r="R41" s="26"/>
      <c r="S41" s="3">
        <f t="shared" si="22"/>
        <v>0</v>
      </c>
      <c r="T41" s="26"/>
      <c r="U41" s="26">
        <f t="shared" si="6"/>
        <v>0</v>
      </c>
      <c r="V41" s="26">
        <f t="shared" si="7"/>
        <v>0</v>
      </c>
      <c r="W41" s="26">
        <f t="shared" si="8"/>
        <v>0</v>
      </c>
      <c r="X41" s="26"/>
      <c r="Y41" s="26">
        <f t="shared" si="3"/>
        <v>0</v>
      </c>
      <c r="AB41" s="4"/>
      <c r="AC41" s="82"/>
      <c r="AL41" s="86"/>
      <c r="AM41" s="62"/>
      <c r="AN41" s="30"/>
      <c r="AR41" s="3"/>
      <c r="AY41" s="87"/>
    </row>
    <row r="42" spans="16:51" ht="12.75">
      <c r="P42" s="24" t="e">
        <f t="shared" si="4"/>
        <v>#VALUE!</v>
      </c>
      <c r="Q42" s="25" t="e">
        <f t="shared" si="5"/>
        <v>#VALUE!</v>
      </c>
      <c r="R42" s="26"/>
      <c r="S42" s="3">
        <f t="shared" si="22"/>
        <v>0</v>
      </c>
      <c r="T42" s="26"/>
      <c r="U42" s="26">
        <f t="shared" si="6"/>
        <v>0</v>
      </c>
      <c r="V42" s="26">
        <f t="shared" si="7"/>
        <v>0</v>
      </c>
      <c r="W42" s="26">
        <f t="shared" si="8"/>
        <v>0</v>
      </c>
      <c r="X42" s="26"/>
      <c r="Y42" s="26">
        <f t="shared" si="3"/>
        <v>0</v>
      </c>
      <c r="AB42" s="4"/>
      <c r="AC42" s="82"/>
      <c r="AL42" s="86"/>
      <c r="AM42" s="62"/>
      <c r="AN42" s="62"/>
      <c r="AS42" s="3"/>
      <c r="AY42" s="3"/>
    </row>
    <row r="43" spans="1:50" ht="12.75">
      <c r="A43" s="7"/>
      <c r="B43" s="7"/>
      <c r="D43" s="69"/>
      <c r="E43" s="3"/>
      <c r="F43" s="58"/>
      <c r="G43" s="17"/>
      <c r="H43" s="49"/>
      <c r="I43" s="58"/>
      <c r="J43" s="59"/>
      <c r="K43" s="7"/>
      <c r="N43" s="7"/>
      <c r="O43" s="7"/>
      <c r="P43" s="24" t="e">
        <f t="shared" si="4"/>
        <v>#VALUE!</v>
      </c>
      <c r="Q43" s="25" t="e">
        <f t="shared" si="5"/>
        <v>#VALUE!</v>
      </c>
      <c r="R43" s="26"/>
      <c r="S43" s="3">
        <f t="shared" si="22"/>
        <v>0</v>
      </c>
      <c r="T43" s="26"/>
      <c r="U43" s="26">
        <f t="shared" si="6"/>
        <v>0</v>
      </c>
      <c r="V43" s="26">
        <f t="shared" si="7"/>
        <v>0</v>
      </c>
      <c r="W43" s="26">
        <f t="shared" si="8"/>
        <v>0</v>
      </c>
      <c r="X43" s="26"/>
      <c r="Y43" s="26">
        <f t="shared" si="3"/>
        <v>0</v>
      </c>
      <c r="AB43" s="4"/>
      <c r="AC43" s="82"/>
      <c r="AL43" s="86"/>
      <c r="AM43" s="73">
        <f>AX34+IF($AD$31&gt;$AD$32,31,30)</f>
        <v>44897</v>
      </c>
      <c r="AN43" s="73">
        <f>AM43+31</f>
        <v>44928</v>
      </c>
      <c r="AO43" s="73">
        <f>AN43+IF($AD$31&gt;$AD$32,28,30)</f>
        <v>44956</v>
      </c>
      <c r="AP43" s="73">
        <f>AO43+31</f>
        <v>44987</v>
      </c>
      <c r="AQ43" s="73">
        <f>AP43+IF($AD$31&gt;$AD$32,30,31)</f>
        <v>45017</v>
      </c>
      <c r="AR43" s="73">
        <f>AQ43+IF($AD$31&gt;$AD$32,31,28)</f>
        <v>45048</v>
      </c>
      <c r="AS43" s="73">
        <f>AR43+IF($AD$31&gt;$AD$32,30,31)</f>
        <v>45078</v>
      </c>
      <c r="AT43" s="73">
        <f>AS43+IF($AD$31&gt;$AD$32,31,30)</f>
        <v>45109</v>
      </c>
      <c r="AU43" s="73">
        <f>AT43+31</f>
        <v>45140</v>
      </c>
      <c r="AV43" s="73">
        <f>AU43+30</f>
        <v>45170</v>
      </c>
      <c r="AW43" s="73">
        <f>AV43+31</f>
        <v>45201</v>
      </c>
      <c r="AX43" s="73">
        <f>AW43+IF($AD$31&gt;$AD$32,30,31)</f>
        <v>45231</v>
      </c>
    </row>
    <row r="44" spans="1:5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 t="e">
        <f t="shared" si="4"/>
        <v>#VALUE!</v>
      </c>
      <c r="Q44" s="25" t="e">
        <f t="shared" si="5"/>
        <v>#VALUE!</v>
      </c>
      <c r="R44" s="26"/>
      <c r="S44" s="3">
        <f aca="true" t="shared" si="23" ref="S44:S48">IF(T44&gt;0,SUM(C$60:L$60)/M$29-SUM(R$5:R44)+SUM(W$5:W44)+X44,0)</f>
        <v>0</v>
      </c>
      <c r="T44" s="26"/>
      <c r="U44" s="26">
        <f t="shared" si="6"/>
        <v>0</v>
      </c>
      <c r="V44" s="26">
        <f t="shared" si="7"/>
        <v>0</v>
      </c>
      <c r="W44" s="26">
        <f t="shared" si="8"/>
        <v>0</v>
      </c>
      <c r="X44" s="26"/>
      <c r="Y44" s="26">
        <f t="shared" si="3"/>
        <v>0</v>
      </c>
      <c r="AK44" s="49" t="s">
        <v>87</v>
      </c>
      <c r="AL44" s="17"/>
      <c r="AM44" s="74">
        <f>IF($D$27&lt;AM43,AM43-$D$27-SUM($AM35:$AX35),0)+IF($F$27&lt;AM43,$F$27-AM43,0)</f>
        <v>0</v>
      </c>
      <c r="AN44" s="74">
        <f>IF($D$27&lt;AN43,AN43-$D$27-SUM(AM44:$AM44)-SUM($AM35:$AX35),0)+IF($F$27&lt;AN43,$F$27-AN43,0)</f>
        <v>0</v>
      </c>
      <c r="AO44" s="74">
        <f>IF($D$27&lt;AO43,AO43-$D$27-SUM($AM44:AN44)-SUM($AM35:$AX35),0)+IF($F$27&lt;AO43,$F$27-AO43,0)</f>
        <v>0</v>
      </c>
      <c r="AP44" s="74">
        <f>IF($D$27&lt;AP43,AP43-$D$27-SUM($AM44:AO44)-SUM($AM35:$AX35),0)+IF($F$27&lt;AP43,$F$27-AP43,0)</f>
        <v>0</v>
      </c>
      <c r="AQ44" s="74">
        <f>IF($D$27&lt;AQ43,AQ43-$D$27-SUM($AM44:AP44)-SUM($AM35:$AX35),0)+IF($F$27&lt;AQ43,$F$27-AQ43,0)</f>
        <v>0</v>
      </c>
      <c r="AR44" s="74">
        <f>IF($D$27&lt;AR43,AR43-$D$27-SUM($AM44:AQ44)-SUM($AM35:$AX35),0)+IF($F$27&lt;AR43,$F$27-AR43,0)</f>
        <v>0</v>
      </c>
      <c r="AS44" s="74">
        <f>IF($D$27&lt;AS43,AS43-$D$27-SUM($AM44:AR44)-SUM($AM35:$AX35),0)+IF($F$27&lt;AS43,$F$27-AS43,0)</f>
        <v>0</v>
      </c>
      <c r="AT44" s="74">
        <f>IF($D$27&lt;AT43,AT43-$D$27-SUM($AM44:AS44)-SUM($AM35:$AX35),0)+IF($F$27&lt;AT43,$F$27-AT43,0)</f>
        <v>0</v>
      </c>
      <c r="AU44" s="74">
        <f>IF($D$27&lt;AU43,AU43-$D$27-SUM($AM44:AT44)-SUM($AM35:$AX35),0)+IF($F$27&lt;AU43,$F$27-AU43,0)</f>
        <v>0</v>
      </c>
      <c r="AV44" s="74">
        <f>IF($D$27&lt;AV43,AV43-$D$27-SUM($AM44:AU44)-SUM($AM35:$AX35),0)+IF($F$27&lt;AV43,$F$27-AV43,0)</f>
        <v>0</v>
      </c>
      <c r="AW44" s="74">
        <f>IF($D$27&lt;AW43,AW43-$D$27-SUM($AM44:AV44)-SUM($AM35:$AX35),0)+IF($F$27&lt;AW43,$F$27-AW43,0)</f>
        <v>0</v>
      </c>
      <c r="AX44" s="74">
        <f>IF($D$27&lt;AX43,AX43-$D$27-SUM($AM44:AW44)-SUM($AM35:$AX35),0)+IF($F$27&lt;AX43,$F$27-AX43,0)</f>
        <v>0</v>
      </c>
      <c r="AY44" s="58">
        <f>IF(AB29&gt;1,"x  "&amp;AB29,"")</f>
        <v>0</v>
      </c>
    </row>
    <row r="45" spans="2:50" ht="12.75">
      <c r="B45" s="17"/>
      <c r="D45" s="72">
        <f>IF(AC29&lt;28,"","consommation d'électricité/4 semaines")</f>
        <v>0</v>
      </c>
      <c r="E45" s="3">
        <f>IF(AC29&lt;28,"",100*M29)</f>
        <v>0</v>
      </c>
      <c r="F45" s="58">
        <f>IF(AC29&lt;28,"","x")</f>
        <v>0</v>
      </c>
      <c r="G45" s="88">
        <f>IF(AC$29&lt;28,"",G$31/28)</f>
        <v>0</v>
      </c>
      <c r="H45" s="49">
        <f>IF(AC29&lt;28,"","avance(s)")</f>
        <v>0</v>
      </c>
      <c r="I45" s="58">
        <f>IF(AC29&lt;28,"","=")</f>
        <v>0</v>
      </c>
      <c r="J45" s="59">
        <f>IF(G45="",0,E45*ROUND(G45,1))</f>
        <v>0</v>
      </c>
      <c r="K45" s="1"/>
      <c r="L45" s="1">
        <f>IF(AC29&lt;28,0,"(3)")</f>
        <v>0</v>
      </c>
      <c r="P45" s="24" t="e">
        <f t="shared" si="4"/>
        <v>#VALUE!</v>
      </c>
      <c r="Q45" s="25" t="e">
        <f t="shared" si="5"/>
        <v>#VALUE!</v>
      </c>
      <c r="R45" s="26"/>
      <c r="S45" s="3">
        <f t="shared" si="23"/>
        <v>0</v>
      </c>
      <c r="T45" s="26"/>
      <c r="U45" s="26">
        <f t="shared" si="6"/>
        <v>0</v>
      </c>
      <c r="V45" s="26">
        <f t="shared" si="7"/>
        <v>0</v>
      </c>
      <c r="W45" s="26">
        <f t="shared" si="8"/>
        <v>0</v>
      </c>
      <c r="X45" s="26"/>
      <c r="Y45" s="26">
        <f t="shared" si="3"/>
        <v>0</v>
      </c>
      <c r="AK45" s="49" t="s">
        <v>79</v>
      </c>
      <c r="AL45" s="17"/>
      <c r="AM45" s="76">
        <f>IF(AM44&gt;0,$AM33*AM44*$AB$29+AX36-AX40,0)</f>
        <v>0</v>
      </c>
      <c r="AN45" s="76">
        <f>IF(AN44&gt;0,$AM33*AN44*$AB$29+AM45-AM49,0)</f>
        <v>0</v>
      </c>
      <c r="AO45" s="76">
        <f>IF(AO44&gt;0,$AM33*AO44*$AB$29+AN45-AN49,0)</f>
        <v>0</v>
      </c>
      <c r="AP45" s="76">
        <f>IF(AP44&gt;0,$AM33*AP44*$AB$29+AO45-AO49,0)</f>
        <v>0</v>
      </c>
      <c r="AQ45" s="76">
        <f>IF(AQ44&gt;0,$AM33*AQ44*$AB$29+AP45-AP49,0)</f>
        <v>0</v>
      </c>
      <c r="AR45" s="76">
        <f>IF(AR44&gt;0,$AM33*AR44*$AB$29+AQ45-AQ49,0)</f>
        <v>0</v>
      </c>
      <c r="AS45" s="76">
        <f>IF(AS44&gt;0,$AM33*AS44*$AB$29+AR45-AR49,0)</f>
        <v>0</v>
      </c>
      <c r="AT45" s="76">
        <f>IF(AT44&gt;0,$AM33*AT44*$AB$29+AS45-AS49,0)</f>
        <v>0</v>
      </c>
      <c r="AU45" s="76">
        <f>IF(AU44&gt;0,$AM33*AU44*$AB$29+AT45-AT49,0)</f>
        <v>0</v>
      </c>
      <c r="AV45" s="76">
        <f>IF(AV44&gt;0,$AM33*AV44*$AB$29+AU45-AU49,0)</f>
        <v>0</v>
      </c>
      <c r="AW45" s="76">
        <f>IF(AW44&gt;0,$AM33*AW44*$AB$29+AV45-AV49,0)</f>
        <v>0</v>
      </c>
      <c r="AX45" s="76">
        <f>IF(AX44&gt;0,$AM33*AX44*$AB$29+AW45-AW49,0)</f>
        <v>0</v>
      </c>
    </row>
    <row r="46" spans="1:5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4" t="e">
        <f t="shared" si="4"/>
        <v>#VALUE!</v>
      </c>
      <c r="Q46" s="25" t="e">
        <f t="shared" si="5"/>
        <v>#VALUE!</v>
      </c>
      <c r="R46" s="26"/>
      <c r="S46" s="3">
        <f t="shared" si="23"/>
        <v>0</v>
      </c>
      <c r="T46" s="26"/>
      <c r="U46" s="26">
        <f t="shared" si="6"/>
        <v>0</v>
      </c>
      <c r="V46" s="26">
        <f t="shared" si="7"/>
        <v>0</v>
      </c>
      <c r="W46" s="26">
        <f t="shared" si="8"/>
        <v>0</v>
      </c>
      <c r="X46" s="26"/>
      <c r="Y46" s="26">
        <f t="shared" si="3"/>
        <v>0</v>
      </c>
      <c r="AK46" s="49" t="s">
        <v>80</v>
      </c>
      <c r="AL46" s="17"/>
      <c r="AM46" s="78">
        <f>AM45*0.09</f>
        <v>0</v>
      </c>
      <c r="AN46" s="78">
        <f>AN45*0.09</f>
        <v>0</v>
      </c>
      <c r="AO46" s="78">
        <f>AO45*0.09</f>
        <v>0</v>
      </c>
      <c r="AP46" s="78">
        <f>AP45*0.09</f>
        <v>0</v>
      </c>
      <c r="AQ46" s="78">
        <f>AQ45*0.09</f>
        <v>0</v>
      </c>
      <c r="AR46" s="78">
        <f>AR45*0.09</f>
        <v>0</v>
      </c>
      <c r="AS46" s="78">
        <f>AS45*0.09</f>
        <v>0</v>
      </c>
      <c r="AT46" s="78">
        <f>AT45*0.09</f>
        <v>0</v>
      </c>
      <c r="AU46" s="78">
        <f>AU45*0.09</f>
        <v>0</v>
      </c>
      <c r="AV46" s="78">
        <f>AV45*0.09</f>
        <v>0</v>
      </c>
      <c r="AW46" s="78">
        <f>AW45*0.09</f>
        <v>0</v>
      </c>
      <c r="AX46" s="78">
        <f>AX45*0.09</f>
        <v>0</v>
      </c>
    </row>
    <row r="47" spans="1:51" ht="12.75">
      <c r="A47" s="7"/>
      <c r="B47" s="7"/>
      <c r="C47" s="7"/>
      <c r="D47" s="69">
        <f>IF(AC29&lt;28,"","eau froide+chaude + déchets/4 semaines")</f>
        <v>0</v>
      </c>
      <c r="E47" s="3">
        <f>IF(AC29&lt;28,"",60*M29)</f>
        <v>0</v>
      </c>
      <c r="F47" s="58">
        <f>IF(AC29&lt;28,"","x")</f>
        <v>0</v>
      </c>
      <c r="G47" s="88">
        <f>IF(AC$29&lt;28,"",G$31/28)</f>
        <v>0</v>
      </c>
      <c r="H47" s="49">
        <f>IF(AC29&lt;28,"","avance(s)")</f>
        <v>0</v>
      </c>
      <c r="I47" s="58">
        <f>IF(AC29&lt;28,"","=")</f>
        <v>0</v>
      </c>
      <c r="J47" s="59">
        <f>IF(G47="",0,E47*ROUND(G47,1))</f>
        <v>0</v>
      </c>
      <c r="K47" s="1"/>
      <c r="L47" s="89">
        <f>IF($AC29&lt;28,"","portion fixe")</f>
        <v>0</v>
      </c>
      <c r="M47" s="7"/>
      <c r="N47" s="7"/>
      <c r="O47" s="7"/>
      <c r="P47" s="24" t="e">
        <f t="shared" si="4"/>
        <v>#VALUE!</v>
      </c>
      <c r="Q47" s="25" t="e">
        <f t="shared" si="5"/>
        <v>#VALUE!</v>
      </c>
      <c r="R47" s="26"/>
      <c r="S47" s="3">
        <f t="shared" si="23"/>
        <v>0</v>
      </c>
      <c r="T47" s="26"/>
      <c r="U47" s="26">
        <f t="shared" si="6"/>
        <v>0</v>
      </c>
      <c r="V47" s="26">
        <f t="shared" si="7"/>
        <v>0</v>
      </c>
      <c r="W47" s="26">
        <f t="shared" si="8"/>
        <v>0</v>
      </c>
      <c r="X47" s="26"/>
      <c r="Y47" s="26">
        <f t="shared" si="3"/>
        <v>0</v>
      </c>
      <c r="AK47" s="49" t="s">
        <v>81</v>
      </c>
      <c r="AL47" s="17"/>
      <c r="AM47" s="79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1"/>
      <c r="AY47" s="3">
        <f>SUM(AM38:AX38)+SUM(AM47:AX47)</f>
        <v>0</v>
      </c>
    </row>
    <row r="48" spans="2:51" ht="12.75">
      <c r="B48" s="17"/>
      <c r="D48" s="72"/>
      <c r="F48" s="58"/>
      <c r="H48" s="17"/>
      <c r="I48" s="58"/>
      <c r="J48" s="2"/>
      <c r="K48" s="1"/>
      <c r="L48" s="90"/>
      <c r="P48" s="24" t="e">
        <f t="shared" si="4"/>
        <v>#VALUE!</v>
      </c>
      <c r="Q48" s="25" t="e">
        <f t="shared" si="5"/>
        <v>#VALUE!</v>
      </c>
      <c r="R48" s="26"/>
      <c r="S48" s="3">
        <f t="shared" si="23"/>
        <v>0</v>
      </c>
      <c r="T48" s="26"/>
      <c r="U48" s="26">
        <f t="shared" si="6"/>
        <v>0</v>
      </c>
      <c r="V48" s="26">
        <f t="shared" si="7"/>
        <v>0</v>
      </c>
      <c r="W48" s="26">
        <f t="shared" si="8"/>
        <v>0</v>
      </c>
      <c r="X48" s="26"/>
      <c r="Y48" s="26">
        <f t="shared" si="3"/>
        <v>0</v>
      </c>
      <c r="AK48" s="49" t="s">
        <v>84</v>
      </c>
      <c r="AL48" s="17"/>
      <c r="AM48" s="83">
        <f>IF(AM44&gt;0,AM47/AB29/9*100/AM44,0)*1</f>
        <v>0</v>
      </c>
      <c r="AN48" s="83">
        <f>IF(AN44&gt;0,AN47/AB29/9*100/AN44,0)*1</f>
        <v>0</v>
      </c>
      <c r="AO48" s="83">
        <f>IF(AO44&gt;0,AO47/AB29/9*100/AO44,0)*1</f>
        <v>0</v>
      </c>
      <c r="AP48" s="83">
        <f>IF(AP44&gt;0,AP47/AB29/9*100/AP44,0)*1</f>
        <v>0</v>
      </c>
      <c r="AQ48" s="83">
        <f>IF(AQ44&gt;0,AQ47/AB29/9*100/AQ44,0)*1</f>
        <v>0</v>
      </c>
      <c r="AR48" s="83">
        <f>IF(AR44&gt;0,AR47/AB29/9*100/AR44,0)*1</f>
        <v>0</v>
      </c>
      <c r="AS48" s="83">
        <f>IF(AS44&gt;0,AS47/AB29/9*100/AS44,0)*1</f>
        <v>0</v>
      </c>
      <c r="AT48" s="83">
        <f>IF(AT44&gt;0,AT47/AB29/9*100/AT44,0)*1</f>
        <v>0</v>
      </c>
      <c r="AU48" s="83">
        <f>IF(AU44&gt;0,AU47/AB29/9*100/AU44,0)*1</f>
        <v>0</v>
      </c>
      <c r="AV48" s="83">
        <f>IF(AV44&gt;0,AV47/AB29/9*100/AV44,0)*1</f>
        <v>0</v>
      </c>
      <c r="AW48" s="83">
        <f>IF(AW44&gt;0,AW47/AB29/9*100/AW44,0)*1</f>
        <v>0</v>
      </c>
      <c r="AX48" s="83">
        <f>IF(AX44&gt;0,AX47/AB29/9*100/AX44,0)*1</f>
        <v>0</v>
      </c>
      <c r="AY48" s="3"/>
    </row>
    <row r="49" spans="2:51" ht="12.75">
      <c r="B49" s="17"/>
      <c r="D49" s="72"/>
      <c r="F49" s="58"/>
      <c r="H49" s="17">
        <f>IF(D57="","","taxe")</f>
        <v>0</v>
      </c>
      <c r="I49" s="58">
        <f>IF(J49="","","=")</f>
        <v>0</v>
      </c>
      <c r="J49" s="2">
        <f>IF(D57="","",SUM(J31:J47)*0.09)</f>
        <v>0</v>
      </c>
      <c r="K49" s="58"/>
      <c r="L49" s="82"/>
      <c r="M49" s="2"/>
      <c r="N49" s="60"/>
      <c r="O49" s="60"/>
      <c r="P49" s="24" t="e">
        <f t="shared" si="4"/>
        <v>#VALUE!</v>
      </c>
      <c r="Q49" s="25" t="e">
        <f t="shared" si="5"/>
        <v>#VALUE!</v>
      </c>
      <c r="R49" s="26"/>
      <c r="S49" s="3">
        <f aca="true" t="shared" si="24" ref="S49:S52">IF(T49&gt;0,SUM(C$60:M$60)/M$29-SUM(R$5:R49)+SUM(W$5:W49)+X49,0)</f>
        <v>0</v>
      </c>
      <c r="T49" s="26"/>
      <c r="U49" s="26">
        <f t="shared" si="6"/>
        <v>0</v>
      </c>
      <c r="V49" s="26">
        <f t="shared" si="7"/>
        <v>0</v>
      </c>
      <c r="W49" s="26">
        <f t="shared" si="8"/>
        <v>0</v>
      </c>
      <c r="X49" s="26"/>
      <c r="Y49" s="26">
        <f t="shared" si="3"/>
        <v>0</v>
      </c>
      <c r="AB49" s="17"/>
      <c r="AK49" s="49" t="s">
        <v>85</v>
      </c>
      <c r="AL49" s="17"/>
      <c r="AM49" s="76">
        <f>+AM47/9*100</f>
        <v>0</v>
      </c>
      <c r="AN49" s="76">
        <f>+AN47/9*100</f>
        <v>0</v>
      </c>
      <c r="AO49" s="76">
        <f>+AO47/9*100</f>
        <v>0</v>
      </c>
      <c r="AP49" s="76">
        <f>+AP47/9*100</f>
        <v>0</v>
      </c>
      <c r="AQ49" s="76">
        <f>+AQ47/9*100</f>
        <v>0</v>
      </c>
      <c r="AR49" s="76">
        <f>+AR47/9*100</f>
        <v>0</v>
      </c>
      <c r="AS49" s="76">
        <f>+AS47/9*100</f>
        <v>0</v>
      </c>
      <c r="AT49" s="76">
        <f>+AT47/9*100</f>
        <v>0</v>
      </c>
      <c r="AU49" s="76">
        <f>+AU47/9*100</f>
        <v>0</v>
      </c>
      <c r="AV49" s="76">
        <f>+AV47/9*100</f>
        <v>0</v>
      </c>
      <c r="AW49" s="76">
        <f>+AW47/9*100</f>
        <v>0</v>
      </c>
      <c r="AX49" s="76">
        <f>+AX47/9*100</f>
        <v>0</v>
      </c>
      <c r="AY49" s="91">
        <f>SUM(AM40:AX40)+SUM(AM49:AX49)</f>
        <v>0</v>
      </c>
    </row>
    <row r="50" spans="1:5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P50" s="24" t="e">
        <f t="shared" si="4"/>
        <v>#VALUE!</v>
      </c>
      <c r="Q50" s="25" t="e">
        <f t="shared" si="5"/>
        <v>#VALUE!</v>
      </c>
      <c r="R50" s="26"/>
      <c r="S50" s="3">
        <f t="shared" si="24"/>
        <v>0</v>
      </c>
      <c r="T50" s="26"/>
      <c r="U50" s="26">
        <f t="shared" si="6"/>
        <v>0</v>
      </c>
      <c r="V50" s="26">
        <f t="shared" si="7"/>
        <v>0</v>
      </c>
      <c r="W50" s="26">
        <f t="shared" si="8"/>
        <v>0</v>
      </c>
      <c r="X50" s="26"/>
      <c r="Y50" s="26">
        <f t="shared" si="3"/>
        <v>0</v>
      </c>
      <c r="AL50" s="1" t="s">
        <v>88</v>
      </c>
      <c r="AM50" s="3">
        <f>+AM47+AM49</f>
        <v>0</v>
      </c>
      <c r="AN50" s="3">
        <f>+AN47+AN49</f>
        <v>0</v>
      </c>
      <c r="AO50" s="3">
        <f>+AO47+AO49</f>
        <v>0</v>
      </c>
      <c r="AP50" s="3">
        <f>+AP47+AP49</f>
        <v>0</v>
      </c>
      <c r="AQ50" s="3">
        <f>+AQ47+AQ49</f>
        <v>0</v>
      </c>
      <c r="AR50" s="3">
        <f>+AR47+AR49</f>
        <v>0</v>
      </c>
      <c r="AS50" s="3">
        <f>+AS47+AS49</f>
        <v>0</v>
      </c>
      <c r="AT50" s="3">
        <f>+AT47+AT49</f>
        <v>0</v>
      </c>
      <c r="AU50" s="3">
        <f>+AU47+AU49</f>
        <v>0</v>
      </c>
      <c r="AV50" s="3">
        <f>+AV47+AV49</f>
        <v>0</v>
      </c>
      <c r="AW50" s="3">
        <f>+AW47+AW49</f>
        <v>0</v>
      </c>
      <c r="AX50" s="3">
        <f>+AX47+AX49</f>
        <v>0</v>
      </c>
      <c r="AY50" s="3">
        <f>+AY47+AY49</f>
        <v>0</v>
      </c>
    </row>
    <row r="51" spans="1:30" ht="12.75">
      <c r="A51" s="7"/>
      <c r="B51" s="7"/>
      <c r="C51" s="7"/>
      <c r="D51" s="7"/>
      <c r="E51" s="7"/>
      <c r="F51" s="92"/>
      <c r="G51" s="7"/>
      <c r="H51" s="93" t="s">
        <v>89</v>
      </c>
      <c r="I51" s="58" t="s">
        <v>70</v>
      </c>
      <c r="J51" s="59">
        <f>IF($K51="","",E39*G31)</f>
        <v>0</v>
      </c>
      <c r="K51" s="85"/>
      <c r="L51" s="1">
        <f>IF(K51="","x si désiré","vide si non désir")</f>
        <v>0</v>
      </c>
      <c r="M51" s="7"/>
      <c r="N51" s="7"/>
      <c r="P51" s="24" t="e">
        <f t="shared" si="4"/>
        <v>#VALUE!</v>
      </c>
      <c r="Q51" s="25" t="e">
        <f t="shared" si="5"/>
        <v>#VALUE!</v>
      </c>
      <c r="R51" s="26"/>
      <c r="S51" s="3">
        <f t="shared" si="24"/>
        <v>0</v>
      </c>
      <c r="T51" s="26"/>
      <c r="U51" s="26">
        <f t="shared" si="6"/>
        <v>0</v>
      </c>
      <c r="V51" s="26">
        <f t="shared" si="7"/>
        <v>0</v>
      </c>
      <c r="W51" s="26">
        <f t="shared" si="8"/>
        <v>0</v>
      </c>
      <c r="X51" s="26"/>
      <c r="Y51" s="26">
        <f t="shared" si="3"/>
        <v>0</v>
      </c>
      <c r="AB51" s="3"/>
      <c r="AD51" s="3"/>
    </row>
    <row r="52" spans="2:47" ht="12.75">
      <c r="B52" s="17"/>
      <c r="H52" s="17"/>
      <c r="I52" s="58"/>
      <c r="J52" s="94"/>
      <c r="K52" s="1"/>
      <c r="P52" s="24" t="e">
        <f t="shared" si="4"/>
        <v>#VALUE!</v>
      </c>
      <c r="Q52" s="25" t="e">
        <f t="shared" si="5"/>
        <v>#VALUE!</v>
      </c>
      <c r="R52" s="26"/>
      <c r="S52" s="3">
        <f t="shared" si="24"/>
        <v>0</v>
      </c>
      <c r="T52" s="26"/>
      <c r="U52" s="26">
        <f t="shared" si="6"/>
        <v>0</v>
      </c>
      <c r="V52" s="26">
        <f t="shared" si="7"/>
        <v>0</v>
      </c>
      <c r="W52" s="26">
        <f t="shared" si="8"/>
        <v>0</v>
      </c>
      <c r="X52" s="26"/>
      <c r="Y52" s="26">
        <f t="shared" si="3"/>
        <v>0</v>
      </c>
      <c r="AD52" s="3"/>
      <c r="AK52" s="1">
        <f>+D54</f>
        <v>0</v>
      </c>
      <c r="AM52" s="1">
        <f>+C17</f>
        <v>0</v>
      </c>
      <c r="AN52" s="1" t="e">
        <f ca="1">MID(CELL("filename",A1),FIND("[",CELL("filename",A1))+1,FIND(".xls]",CELL("filename",A1))-FIND("[",CELL("filename",A1))-1)</f>
        <v>#VALUE!</v>
      </c>
      <c r="AO52" s="1">
        <f>+G57</f>
        <v>0</v>
      </c>
      <c r="AP52" s="95">
        <f>+D27</f>
        <v>0</v>
      </c>
      <c r="AQ52" s="95">
        <f>+F27</f>
        <v>0</v>
      </c>
      <c r="AR52" s="4">
        <f>+G31</f>
        <v>0</v>
      </c>
      <c r="AS52" s="3" t="e">
        <f>+J53/M29/2/1.09</f>
        <v>#DIV/0!</v>
      </c>
      <c r="AT52" s="3" t="e">
        <f>+AS52*0.09</f>
        <v>#DIV/0!</v>
      </c>
      <c r="AU52" s="3" t="e">
        <f>+AS52+AT52</f>
        <v>#DIV/0!</v>
      </c>
    </row>
    <row r="53" spans="2:29" ht="12.75">
      <c r="B53" s="17"/>
      <c r="H53" s="17" t="s">
        <v>90</v>
      </c>
      <c r="I53" s="58" t="s">
        <v>70</v>
      </c>
      <c r="J53" s="2" t="e">
        <f>SUM(J31:J51)</f>
        <v>#DIV/0!</v>
      </c>
      <c r="K53" s="44">
        <f>IF(AC29*AB29&gt;1,"+","")</f>
        <v>0</v>
      </c>
      <c r="L53" s="96">
        <f>IF(AC29*AB29&gt;1,200*M29,"")</f>
        <v>0</v>
      </c>
      <c r="M53" s="97">
        <f>IF(AB29*AC29&gt;1,"garantie dégats(²)","")</f>
        <v>0</v>
      </c>
      <c r="N53" s="11"/>
      <c r="O53" s="1" t="s">
        <v>72</v>
      </c>
      <c r="P53" s="24" t="e">
        <f t="shared" si="4"/>
        <v>#VALUE!</v>
      </c>
      <c r="Q53" s="25" t="e">
        <f t="shared" si="5"/>
        <v>#VALUE!</v>
      </c>
      <c r="R53" s="26"/>
      <c r="S53" s="3">
        <f aca="true" t="shared" si="25" ref="S53:S57">IF(T53&gt;0,SUM(C$60:N$60)/M$29-SUM(R$5:R53)+SUM(W$5:W53)+X53,0)</f>
        <v>0</v>
      </c>
      <c r="T53" s="26"/>
      <c r="U53" s="26">
        <f t="shared" si="6"/>
        <v>0</v>
      </c>
      <c r="V53" s="26">
        <f t="shared" si="7"/>
        <v>0</v>
      </c>
      <c r="W53" s="26">
        <f t="shared" si="8"/>
        <v>0</v>
      </c>
      <c r="X53" s="26"/>
      <c r="Y53" s="26">
        <f t="shared" si="3"/>
        <v>0</v>
      </c>
      <c r="AB53" s="35"/>
      <c r="AC53" s="3"/>
    </row>
    <row r="54" spans="9:29" ht="12.75">
      <c r="I54" s="17" t="s">
        <v>91</v>
      </c>
      <c r="J54" s="98" t="e">
        <f>ROUND(IF(AC29=0,"",(J53-IF(AC29&lt;28,0,J37)-J45-J47)/AC29/AB29),1)</f>
        <v>#VALUE!</v>
      </c>
      <c r="K54" s="99" t="s">
        <v>92</v>
      </c>
      <c r="L54" s="100"/>
      <c r="M54" s="7"/>
      <c r="N54" s="101">
        <f>IF(N53&gt;0,(N53-J53)/1.09/J31,0)</f>
        <v>0</v>
      </c>
      <c r="O54" s="102"/>
      <c r="P54" s="24" t="e">
        <f t="shared" si="4"/>
        <v>#VALUE!</v>
      </c>
      <c r="Q54" s="25" t="e">
        <f t="shared" si="5"/>
        <v>#VALUE!</v>
      </c>
      <c r="R54" s="26"/>
      <c r="S54" s="3">
        <f t="shared" si="25"/>
        <v>0</v>
      </c>
      <c r="T54" s="26"/>
      <c r="U54" s="26">
        <f t="shared" si="6"/>
        <v>0</v>
      </c>
      <c r="V54" s="26">
        <f t="shared" si="7"/>
        <v>0</v>
      </c>
      <c r="W54" s="26">
        <f t="shared" si="8"/>
        <v>0</v>
      </c>
      <c r="X54" s="26"/>
      <c r="Y54" s="26">
        <f t="shared" si="3"/>
        <v>0</v>
      </c>
      <c r="AB54" s="35"/>
      <c r="AC54" s="3"/>
    </row>
    <row r="55" spans="9:29" ht="12.75">
      <c r="I55" s="103">
        <f>IF(J55=0,"","+")</f>
        <v>0</v>
      </c>
      <c r="J55" s="104">
        <f>IF(AC29&gt;27,(IF(AC29&lt;28,0,J37)+J45+J47)/AC29/AB29,0)</f>
        <v>0</v>
      </c>
      <c r="K55" s="105">
        <f>IF(J55=0,"","d'avance/jour/suite")</f>
        <v>0</v>
      </c>
      <c r="L55" s="106"/>
      <c r="M55" s="7"/>
      <c r="P55" s="24" t="e">
        <f t="shared" si="4"/>
        <v>#VALUE!</v>
      </c>
      <c r="Q55" s="25" t="e">
        <f t="shared" si="5"/>
        <v>#VALUE!</v>
      </c>
      <c r="R55" s="26"/>
      <c r="S55" s="3">
        <f t="shared" si="25"/>
        <v>0</v>
      </c>
      <c r="T55" s="26"/>
      <c r="U55" s="26">
        <f t="shared" si="6"/>
        <v>0</v>
      </c>
      <c r="V55" s="26">
        <f t="shared" si="7"/>
        <v>0</v>
      </c>
      <c r="W55" s="26">
        <f t="shared" si="8"/>
        <v>0</v>
      </c>
      <c r="X55" s="26"/>
      <c r="Y55" s="26">
        <f t="shared" si="3"/>
        <v>0</v>
      </c>
      <c r="AB55" s="3"/>
      <c r="AC55" s="3"/>
    </row>
    <row r="56" spans="1:2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P56" s="24" t="e">
        <f t="shared" si="4"/>
        <v>#VALUE!</v>
      </c>
      <c r="Q56" s="25" t="e">
        <f t="shared" si="5"/>
        <v>#VALUE!</v>
      </c>
      <c r="R56" s="26"/>
      <c r="S56" s="3">
        <f t="shared" si="25"/>
        <v>0</v>
      </c>
      <c r="T56" s="26"/>
      <c r="U56" s="26">
        <f t="shared" si="6"/>
        <v>0</v>
      </c>
      <c r="V56" s="26">
        <f t="shared" si="7"/>
        <v>0</v>
      </c>
      <c r="W56" s="26">
        <f t="shared" si="8"/>
        <v>0</v>
      </c>
      <c r="X56" s="26"/>
      <c r="Y56" s="26">
        <f t="shared" si="3"/>
        <v>0</v>
      </c>
      <c r="AB56" s="3"/>
      <c r="AC56" s="3"/>
    </row>
    <row r="57" spans="1:38" ht="14.25">
      <c r="A57" s="17"/>
      <c r="B57" s="1" t="s">
        <v>93</v>
      </c>
      <c r="D57" s="41"/>
      <c r="E57" s="107" t="s">
        <v>94</v>
      </c>
      <c r="F57" s="1" t="s">
        <v>95</v>
      </c>
      <c r="G57" s="108" t="s">
        <v>96</v>
      </c>
      <c r="I57" s="17" t="s">
        <v>97</v>
      </c>
      <c r="J57" s="109"/>
      <c r="K57" s="17" t="s">
        <v>98</v>
      </c>
      <c r="L57" s="41" t="s">
        <v>42</v>
      </c>
      <c r="O57" s="87"/>
      <c r="P57" s="24" t="e">
        <f t="shared" si="4"/>
        <v>#VALUE!</v>
      </c>
      <c r="Q57" s="25" t="e">
        <f t="shared" si="5"/>
        <v>#VALUE!</v>
      </c>
      <c r="R57" s="26"/>
      <c r="S57" s="3">
        <f t="shared" si="25"/>
        <v>0</v>
      </c>
      <c r="T57" s="26"/>
      <c r="U57" s="26">
        <f t="shared" si="6"/>
        <v>0</v>
      </c>
      <c r="V57" s="26">
        <f t="shared" si="7"/>
        <v>0</v>
      </c>
      <c r="W57" s="26">
        <f t="shared" si="8"/>
        <v>0</v>
      </c>
      <c r="X57" s="26"/>
      <c r="Y57" s="26">
        <f t="shared" si="3"/>
        <v>0</v>
      </c>
      <c r="AB57" s="35"/>
      <c r="AC57" s="3"/>
      <c r="AL57" s="2"/>
    </row>
    <row r="58" spans="1:28" ht="12.75">
      <c r="A58" s="17"/>
      <c r="B58" s="110"/>
      <c r="I58" s="49"/>
      <c r="L58" s="51" t="s">
        <v>99</v>
      </c>
      <c r="O58" s="111"/>
      <c r="R58" s="112"/>
      <c r="T58" s="1"/>
      <c r="U58" s="1"/>
      <c r="V58" s="4"/>
      <c r="W58" s="87"/>
      <c r="X58" s="3"/>
      <c r="AB58" s="3"/>
    </row>
    <row r="59" spans="1:41" ht="12.75">
      <c r="A59" s="17"/>
      <c r="B59" s="49" t="s">
        <v>100</v>
      </c>
      <c r="C59" s="7"/>
      <c r="D59" s="7"/>
      <c r="E59" s="7"/>
      <c r="F59" s="7"/>
      <c r="G59" s="7"/>
      <c r="H59" s="7"/>
      <c r="I59" s="7"/>
      <c r="J59" s="111"/>
      <c r="K59" s="111"/>
      <c r="R59" s="3">
        <f>SUM(R5:R58)</f>
        <v>0</v>
      </c>
      <c r="S59" s="35"/>
      <c r="T59" s="11" t="s">
        <v>101</v>
      </c>
      <c r="U59" s="1"/>
      <c r="V59" s="4"/>
      <c r="W59" s="113">
        <f>SUM(W5:W58)</f>
        <v>0</v>
      </c>
      <c r="X59" s="113">
        <f>SUM(X5:X58)</f>
        <v>0</v>
      </c>
      <c r="Y59" s="3"/>
      <c r="AB59" s="3"/>
      <c r="AM59" s="7"/>
      <c r="AN59" s="17" t="s">
        <v>102</v>
      </c>
      <c r="AO59" s="114" t="s">
        <v>103</v>
      </c>
    </row>
    <row r="60" spans="1:41" ht="14.25">
      <c r="A60" s="54">
        <f>IF(G31&gt;183,(J37+J45+J47)/52)</f>
        <v>0</v>
      </c>
      <c r="B60" s="115" t="s">
        <v>104</v>
      </c>
      <c r="C60" s="116" t="e">
        <f>(J53-J57)/M29</f>
        <v>#DIV/0!</v>
      </c>
      <c r="D60" s="117" t="e">
        <f>IF($J$53-SUM($C60:C60)&gt;0,MIN(SUM($AM6:$AY6)*$AB29,$J$53-SUM($C60:C60)),0)+4*A60</f>
        <v>#DIV/0!</v>
      </c>
      <c r="E60" s="117" t="e">
        <f>IF($J$53-SUM($C60:D60)&gt;0,MIN(SUM($AM8:$AY8)*$AB29,$J$53-SUM($C60:D60)),0)+4*A60</f>
        <v>#DIV/0!</v>
      </c>
      <c r="F60" s="117" t="e">
        <f>IF($J$53-SUM($C60:E60)&gt;0,MIN(SUM($AM10:$AY10)*$AB29,$J$53-SUM($C60:E60)),0)+5*A60</f>
        <v>#DIV/0!</v>
      </c>
      <c r="G60" s="117" t="e">
        <f>IF($J$53-SUM($C60:F60)&gt;0,MIN(SUM($AM12:$AY12)*$AB29,$J$53-SUM($C60:F60)),0)+4*A60</f>
        <v>#DIV/0!</v>
      </c>
      <c r="H60" s="117" t="e">
        <f>IF($J$53-SUM($C60:G60)&gt;0,MIN(SUM($AM14:$AY14)*$AB29,$J$53-SUM($C60:G60)),0)+4*A60</f>
        <v>#DIV/0!</v>
      </c>
      <c r="I60" s="117" t="e">
        <f>IF($J$53-SUM($C60:H60)&gt;0,MIN(SUM($AM16:$AY16)*$AB29,$J$53-SUM($C60:H60)),0)</f>
        <v>#DIV/0!</v>
      </c>
      <c r="J60" s="117" t="e">
        <f>IF($J$53-SUM($C60:I60)&gt;0,MIN(SUM($AM18:$AY18)*$AB29,$J$53-SUM($C60:I60)),0)</f>
        <v>#DIV/0!</v>
      </c>
      <c r="K60" s="117" t="e">
        <f>IF($J$53-SUM($C60:J60)&gt;0,MIN(SUM($AM20:$AY20)*$AB29,$J$53-SUM($C60:J60)),0)</f>
        <v>#DIV/0!</v>
      </c>
      <c r="L60" s="117" t="e">
        <f>IF($J$53-SUM($C60:K60)&gt;0,MIN(SUM($AM22:$AY22)*$AB29,$J$53-SUM($C60:K60)),0)</f>
        <v>#DIV/0!</v>
      </c>
      <c r="M60" s="117" t="e">
        <f>IF($J$53-SUM($C60:L60)&gt;0,MIN(SUM($AM24:$AY24)*$AB29,$J$53-SUM($C60:L60)),0)</f>
        <v>#DIV/0!</v>
      </c>
      <c r="N60" s="117" t="e">
        <f>IF(J53-SUM($C60:M60)&gt;0,$J$53-SUM($C60:M60)-J57,0)</f>
        <v>#DIV/0!</v>
      </c>
      <c r="O60" s="87"/>
      <c r="P60" s="30"/>
      <c r="R60" s="35"/>
      <c r="T60" s="1"/>
      <c r="U60" s="48"/>
      <c r="V60" s="8"/>
      <c r="Y60" s="3"/>
      <c r="AB60" s="3"/>
      <c r="AN60" s="17" t="s">
        <v>105</v>
      </c>
      <c r="AO60" s="3" t="e">
        <f>IF(J57&gt;0,J57,C60)*MIN(IF(K51="",0,(D27-AO59)/G31/10),1)-J51</f>
        <v>#DIV/0!</v>
      </c>
    </row>
    <row r="61" spans="2:29" ht="12.75">
      <c r="B61" s="115" t="s">
        <v>106</v>
      </c>
      <c r="C61" s="73" t="e">
        <f>IF(C60=0,"",IF(J57=0,B62,SUM($AM5:$AY5)))</f>
        <v>#DIV/0!</v>
      </c>
      <c r="D61" s="73" t="e">
        <f>IF(D60=0,"",IF(SUM($AM7:$AY7)&gt;F27,0,SUM($AM7:$AY7)))</f>
        <v>#DIV/0!</v>
      </c>
      <c r="E61" s="73" t="e">
        <f>IF(E60=0,"",IF(SUM($AM9:$AY9)&gt;F27,0,SUM($AM9:$AY9)))</f>
        <v>#DIV/0!</v>
      </c>
      <c r="F61" s="73" t="e">
        <f>IF(F60=0,"",IF(SUM($AM11:$AY11)&gt;F27,0,SUM($AM11:$AY11)))</f>
        <v>#DIV/0!</v>
      </c>
      <c r="G61" s="73" t="e">
        <f>IF(G60=0,"",IF(SUM($AM13:$AY13)&gt;F27,0,SUM($AM13:$AY13)))</f>
        <v>#DIV/0!</v>
      </c>
      <c r="H61" s="73" t="e">
        <f>IF(H60=0,"",IF(SUM($AM15:$AY15)&gt;F27,0,SUM($AM15:$AY15)))</f>
        <v>#DIV/0!</v>
      </c>
      <c r="I61" s="73" t="e">
        <f>IF(I60=0,"",IF(SUM($AM17:$AY17)&gt;F27,0,SUM($AM17:$AY17)))</f>
        <v>#DIV/0!</v>
      </c>
      <c r="J61" s="73" t="e">
        <f>IF(J60=0,"",IF(SUM($AM19:$AY19)&gt;F27,0,SUM($AM19:$AY19)))</f>
        <v>#DIV/0!</v>
      </c>
      <c r="K61" s="73" t="e">
        <f>IF(K60=0,"",IF(SUM($AM21:$AY21)&gt;F27,0,SUM($AM21:$AY21)))</f>
        <v>#DIV/0!</v>
      </c>
      <c r="L61" s="73" t="e">
        <f>IF(L60=0,"",IF(SUM($AM23:$AY23)&gt;F27,0,SUM($AM23:$AY23)))</f>
        <v>#DIV/0!</v>
      </c>
      <c r="M61" s="73" t="e">
        <f>IF(M60=0,"",IF(SUM($AM25:$AY25)&gt;F27,0,SUM($AM25:$AY25)))</f>
        <v>#DIV/0!</v>
      </c>
      <c r="N61" s="73" t="e">
        <f>IF(N60=0,"",IF(SUM($AM27:$AY27)&gt;F27,0,SUM($AM27:$AY27)))</f>
        <v>#DIV/0!</v>
      </c>
      <c r="O61" s="111"/>
      <c r="S61" s="118"/>
      <c r="T61" s="1"/>
      <c r="U61" s="1"/>
      <c r="V61" s="4"/>
      <c r="Y61" s="3"/>
      <c r="AB61" s="17"/>
      <c r="AC61" s="82"/>
    </row>
    <row r="62" spans="2:29" ht="12.75">
      <c r="B62" s="119">
        <f ca="1">IF(G31=0,D27,IF(D27-TODAY()&gt;5,TODAY()+5,TODAY()+ROUNDUP((D27-TODAY())/2,0)))</f>
        <v>0</v>
      </c>
      <c r="R62" s="48"/>
      <c r="S62" s="87"/>
      <c r="T62" s="30"/>
      <c r="U62" s="107"/>
      <c r="V62" s="62"/>
      <c r="W62" s="87"/>
      <c r="X62" s="30"/>
      <c r="Y62" s="30"/>
      <c r="AB62" s="17"/>
      <c r="AC62" s="82"/>
    </row>
    <row r="63" spans="1:36" s="120" customFormat="1" ht="12.75">
      <c r="A63" s="107"/>
      <c r="B63" s="1" t="s">
        <v>107</v>
      </c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34"/>
      <c r="Q63" s="1"/>
      <c r="R63" s="121"/>
      <c r="S63" s="87"/>
      <c r="T63" s="30"/>
      <c r="U63" s="30"/>
      <c r="V63" s="62"/>
      <c r="W63" s="87"/>
      <c r="X63" s="30"/>
      <c r="Y63" s="87"/>
      <c r="Z63" s="1"/>
      <c r="AA63" s="1"/>
      <c r="AB63" s="122"/>
      <c r="AC63" s="3"/>
      <c r="AE63" s="123"/>
      <c r="AH63" s="121"/>
      <c r="AI63" s="124"/>
      <c r="AJ63" s="124"/>
    </row>
    <row r="64" spans="1:51" ht="12.75">
      <c r="A64" s="107" t="s">
        <v>108</v>
      </c>
      <c r="B64" s="49" t="s">
        <v>109</v>
      </c>
      <c r="C64" s="108" t="s">
        <v>110</v>
      </c>
      <c r="E64" s="7"/>
      <c r="F64" s="42" t="s">
        <v>111</v>
      </c>
      <c r="G64" s="125"/>
      <c r="H64" s="17" t="s">
        <v>112</v>
      </c>
      <c r="J64" s="42" t="s">
        <v>113</v>
      </c>
      <c r="K64" s="126" t="s">
        <v>114</v>
      </c>
      <c r="L64" s="2"/>
      <c r="M64" s="42" t="s">
        <v>115</v>
      </c>
      <c r="N64" s="127" t="s">
        <v>116</v>
      </c>
      <c r="O64" s="120"/>
      <c r="P64" s="120"/>
      <c r="R64" s="41"/>
      <c r="T64" s="1"/>
      <c r="U64" s="1"/>
      <c r="V64" s="4"/>
      <c r="W64" s="87"/>
      <c r="X64" s="30"/>
      <c r="Y64" s="87"/>
      <c r="AD64" s="120"/>
      <c r="AM64" s="120"/>
      <c r="AN64" s="120"/>
      <c r="AO64" s="120"/>
      <c r="AY64" s="120"/>
    </row>
    <row r="65" spans="1:22" ht="14.25">
      <c r="A65" s="107" t="s">
        <v>108</v>
      </c>
      <c r="B65" s="49" t="s">
        <v>117</v>
      </c>
      <c r="C65" s="1" t="s">
        <v>118</v>
      </c>
      <c r="D65" s="7"/>
      <c r="E65" s="7"/>
      <c r="F65" s="7"/>
      <c r="G65" s="7"/>
      <c r="H65" s="7"/>
      <c r="I65" s="7"/>
      <c r="J65" s="7"/>
      <c r="K65" s="51"/>
      <c r="L65" s="120"/>
      <c r="M65" s="34"/>
      <c r="N65" s="120"/>
      <c r="R65" s="41"/>
      <c r="T65" s="1"/>
      <c r="U65" s="1"/>
      <c r="V65" s="4"/>
    </row>
    <row r="66" spans="1:51" s="120" customFormat="1" ht="14.25">
      <c r="A66" s="107" t="s">
        <v>108</v>
      </c>
      <c r="B66" s="37" t="s">
        <v>104</v>
      </c>
      <c r="C66" s="1" t="s">
        <v>119</v>
      </c>
      <c r="K66" s="2"/>
      <c r="L66" s="1"/>
      <c r="N66" s="1"/>
      <c r="O66" s="1"/>
      <c r="R66" s="3"/>
      <c r="S66" s="3"/>
      <c r="T66" s="1"/>
      <c r="U66" s="1"/>
      <c r="V66" s="4"/>
      <c r="W66" s="3"/>
      <c r="X66" s="1"/>
      <c r="Y66" s="1"/>
      <c r="Z66" s="1"/>
      <c r="AA66" s="1"/>
      <c r="AD66" s="1"/>
      <c r="AH66" s="121"/>
      <c r="AI66" s="124"/>
      <c r="AJ66" s="124"/>
      <c r="AM66" s="1"/>
      <c r="AN66" s="1"/>
      <c r="AO66" s="1"/>
      <c r="AY66" s="1"/>
    </row>
    <row r="67" spans="1:51" ht="14.25">
      <c r="A67" s="107"/>
      <c r="B67" s="37"/>
      <c r="D67" s="7"/>
      <c r="E67" s="7"/>
      <c r="F67" s="7"/>
      <c r="G67" s="7"/>
      <c r="H67" s="7"/>
      <c r="I67" s="7"/>
      <c r="J67" s="7"/>
      <c r="K67" s="7"/>
      <c r="L67" s="7"/>
      <c r="O67" s="120"/>
      <c r="R67" s="121"/>
      <c r="S67" s="121"/>
      <c r="T67" s="120"/>
      <c r="U67" s="120"/>
      <c r="V67" s="124"/>
      <c r="W67" s="121"/>
      <c r="X67" s="120"/>
      <c r="Z67" s="120"/>
      <c r="AA67" s="120"/>
      <c r="AD67" s="120"/>
      <c r="AM67" s="120"/>
      <c r="AN67" s="120"/>
      <c r="AO67" s="120"/>
      <c r="AY67" s="120"/>
    </row>
    <row r="68" spans="2:22" ht="14.25">
      <c r="B68" s="7"/>
      <c r="L68" s="120"/>
      <c r="M68" s="120"/>
      <c r="T68" s="1"/>
      <c r="U68" s="1"/>
      <c r="V68" s="4"/>
    </row>
    <row r="69" spans="1:22" ht="14.25">
      <c r="A69" s="107"/>
      <c r="B69" s="3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T69" s="1"/>
      <c r="U69" s="1"/>
      <c r="V69" s="4"/>
    </row>
    <row r="70" spans="1:22" ht="14.25">
      <c r="A70" s="107"/>
      <c r="B70" s="3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T70" s="1"/>
      <c r="U70" s="1"/>
      <c r="V70" s="4"/>
    </row>
    <row r="71" spans="1:22" ht="12.75">
      <c r="A71" s="17"/>
      <c r="T71" s="1"/>
      <c r="U71" s="1"/>
      <c r="V71" s="4"/>
    </row>
    <row r="72" spans="2:2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T72" s="1"/>
      <c r="U72" s="1"/>
      <c r="V72" s="4"/>
    </row>
    <row r="73" spans="2:22" ht="12.75">
      <c r="B73" s="17"/>
      <c r="C73" s="7"/>
      <c r="D73" s="7"/>
      <c r="E73" s="7"/>
      <c r="F73" s="7"/>
      <c r="G73" s="7"/>
      <c r="H73" s="17"/>
      <c r="I73" s="7"/>
      <c r="J73" s="7"/>
      <c r="K73" s="7"/>
      <c r="L73" s="7"/>
      <c r="M73" s="7"/>
      <c r="T73" s="1"/>
      <c r="U73" s="1"/>
      <c r="V73" s="4"/>
    </row>
    <row r="74" spans="2:22" ht="12.75">
      <c r="B74" s="17" t="s">
        <v>120</v>
      </c>
      <c r="C74" s="128" t="s">
        <v>46</v>
      </c>
      <c r="H74" s="17" t="s">
        <v>121</v>
      </c>
      <c r="I74" s="1" t="s">
        <v>38</v>
      </c>
      <c r="L74" s="129"/>
      <c r="M74" s="129" t="e">
        <f>-J53/1.09^2*0.15</f>
        <v>#DIV/0!</v>
      </c>
      <c r="T74" s="1"/>
      <c r="U74" s="1"/>
      <c r="V74" s="4"/>
    </row>
    <row r="75" spans="3:22" ht="12.75">
      <c r="C75" s="51" t="s">
        <v>122</v>
      </c>
      <c r="H75" s="17"/>
      <c r="T75" s="1"/>
      <c r="U75" s="1"/>
      <c r="V75" s="4"/>
    </row>
    <row r="76" spans="1:51" ht="12.75">
      <c r="A76" s="49" t="s">
        <v>123</v>
      </c>
      <c r="B76" s="7"/>
      <c r="T76" s="1"/>
      <c r="U76" s="1"/>
      <c r="V76" s="4"/>
      <c r="AY76" s="130"/>
    </row>
    <row r="77" spans="1:22" ht="14.25">
      <c r="A77" s="131" t="s">
        <v>124</v>
      </c>
      <c r="B77" s="7"/>
      <c r="T77" s="1"/>
      <c r="U77" s="1"/>
      <c r="V77" s="4"/>
    </row>
    <row r="78" spans="1:22" ht="12.75">
      <c r="A78" s="132">
        <f>IF(AC29&gt;27,"(3) avance contre la consommation réelle","")</f>
        <v>0</v>
      </c>
      <c r="B78" s="7"/>
      <c r="T78" s="1"/>
      <c r="U78" s="1"/>
      <c r="V78" s="4"/>
    </row>
    <row r="79" spans="1:22" ht="12.75">
      <c r="A79" s="133" t="s">
        <v>125</v>
      </c>
      <c r="T79" s="1"/>
      <c r="U79" s="1"/>
      <c r="V79" s="4"/>
    </row>
    <row r="80" spans="1:22" ht="12.75">
      <c r="A80" s="7"/>
      <c r="T80" s="1"/>
      <c r="U80" s="1"/>
      <c r="V80" s="4"/>
    </row>
    <row r="81" spans="16:22" ht="12.75">
      <c r="P81" s="7"/>
      <c r="Q81" s="7"/>
      <c r="T81" s="1"/>
      <c r="U81" s="1"/>
      <c r="V81" s="4"/>
    </row>
  </sheetData>
  <sheetProtection selectLockedCells="1" selectUnlockedCells="1"/>
  <conditionalFormatting sqref="A69:A71 A76:A77 A80 B19 B31:C62 B72:B74 B76:B78 C27:C28 C70 C72:G73 D58:E62 D65 D67:L67 D69:N70 E19 E27:E28 E64:E65 F15 F57:F62 F65:J65 G31:J32 G34:H34 G36:G56 G58:G62 H7 H10 H15 H19 H21:I21 H25:I25 H33:I62 H64:H65 H72:H75 I6:I7 I9:I14 I29 I72:M73 J8 J33:J56 J58:J62 K1:K40 K43:K63 K66:K73 K75:K65535 L27 L31:L56 L59:L62 L64 L74:M74 M29 M31:N55 M57:M62 N27:O27 N56:N62 O31:O63 P58:Q63 P81:Q81 R1:T2 R60:R63 R66:R65535 S3:S65535 T5:T23 T58:W63 T82:U65535 U2:X2 V64:V66 V68:V81 W1:W2 W65:W65535 X59:X63 Y60:Y63 Z31:AA63 AB30:AC63 AC1:AF5 AC7:AC9 AC20 AD21:AD23 AD29:AG29 AD31:AK63 AF19:AF23 AH1:AH26 AH28 AH64:AH65535 AI6:AJ29 AI64:AJ65 AI67:AJ65535 AJ1 AL3:AL63 AM4:AZ4 AM6:AY6 AM31:AN63 AO8:AY8 AO31:AO58 AO60:AO63 AP10:AY10 AP12:AY12 AP31:IV63 AR14:AY14 AS16:AY16 AT18:AY18 AU20:AY20 AV22:AZ22 AW24:AY24 AX26:AY26 AY28 A31:A67 B64:B70 F29 D31:F56">
    <cfRule type="cellIs" priority="1" dxfId="0" operator="equal" stopIfTrue="1">
      <formula>0</formula>
    </cfRule>
  </conditionalFormatting>
  <conditionalFormatting sqref="D57:E57 G33 G35 G57 J57 K41:K42 L57 N64 AJ2 AK1:AK5 AM8:AN29 AN1 AO10:AO29 AP13:AP29 AQ14:AQ29 AR16:AR29 AS18:AS29 AT20:AT29 AU22:AU29 AV24:AV29 AW26:AW29 AX28:AX29">
    <cfRule type="cellIs" priority="2" dxfId="0" operator="equal" stopIfTrue="1">
      <formula>0</formula>
    </cfRule>
  </conditionalFormatting>
  <conditionalFormatting sqref="P5:P57 R58:R59 X58:Y58 Y59">
    <cfRule type="cellIs" priority="3" dxfId="0" operator="equal" stopIfTrue="1">
      <formula>0</formula>
    </cfRule>
  </conditionalFormatting>
  <conditionalFormatting sqref="Q3:Q4 T3:W4">
    <cfRule type="cellIs" priority="4" dxfId="0" operator="equal" stopIfTrue="1">
      <formula>0</formula>
    </cfRule>
  </conditionalFormatting>
  <conditionalFormatting sqref="R3:R4 X3:Y4 Y1">
    <cfRule type="cellIs" priority="5" dxfId="0" operator="equal" stopIfTrue="1">
      <formula>0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2023-02-02T14:13:45Z</dcterms:modified>
  <cp:category/>
  <cp:version/>
  <cp:contentType/>
  <cp:contentStatus/>
  <cp:revision>109</cp:revision>
</cp:coreProperties>
</file>